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220520\"/>
    </mc:Choice>
  </mc:AlternateContent>
  <xr:revisionPtr revIDLastSave="0" documentId="8_{8EF34D08-9833-41FE-949C-BD423262BB49}" xr6:coauthVersionLast="47" xr6:coauthVersionMax="47" xr10:uidLastSave="{00000000-0000-0000-0000-000000000000}"/>
  <bookViews>
    <workbookView xWindow="-120" yWindow="-120" windowWidth="29040" windowHeight="16440" tabRatio="968" firstSheet="18" activeTab="69" xr2:uid="{9237E5FE-A16C-464B-8045-CF92AE66794F}"/>
  </bookViews>
  <sheets>
    <sheet name="Z_TARTALOMJEGYZÉK" sheetId="209" r:id="rId1"/>
    <sheet name="Z_ALAPADATOK" sheetId="94" r:id="rId2"/>
    <sheet name="Z_ÖSSZEFÜGGÉSEK" sheetId="75" r:id="rId3"/>
    <sheet name="Z_1.1.sz.mell." sheetId="1" r:id="rId4"/>
    <sheet name="Z_1.2.sz.mell." sheetId="142" r:id="rId5"/>
    <sheet name="Z_1.3.sz.mell." sheetId="143" state="hidden" r:id="rId6"/>
    <sheet name="Z_1.4.sz.mell." sheetId="144" state="hidden" r:id="rId7"/>
    <sheet name="Z_2.1.sz.mell" sheetId="73" r:id="rId8"/>
    <sheet name="Z_2.2.sz.mell" sheetId="61" r:id="rId9"/>
    <sheet name="Z_ELLENŐRZÉS" sheetId="76" r:id="rId10"/>
    <sheet name="Z_3.sz.mell." sheetId="63" r:id="rId11"/>
    <sheet name="Z_4.sz.mell." sheetId="64" r:id="rId12"/>
    <sheet name="Z_5.sz.mell." sheetId="213" r:id="rId13"/>
    <sheet name="Z_6.1.sz.mell" sheetId="3" r:id="rId14"/>
    <sheet name="Z_6.1.1.sz.mell" sheetId="133" r:id="rId15"/>
    <sheet name="Z_6.1.2.sz.mell" sheetId="134" state="hidden" r:id="rId16"/>
    <sheet name="Z_6.1.3.sz.mell" sheetId="135" state="hidden" r:id="rId17"/>
    <sheet name="Z_6.2.sz.mell" sheetId="79" r:id="rId18"/>
    <sheet name="Z_6.2.1.sz.mell" sheetId="138" r:id="rId19"/>
    <sheet name="Z_6.2.2.sz.mell" sheetId="137" state="hidden" r:id="rId20"/>
    <sheet name="Z_6.2.3.sz.mell" sheetId="136" state="hidden" r:id="rId21"/>
    <sheet name="Z_6.3.sz.mell" sheetId="105" r:id="rId22"/>
    <sheet name="Z_6.3.1.sz.mell" sheetId="139" r:id="rId23"/>
    <sheet name="Z_6.3.2.sz.mell" sheetId="140" state="hidden" r:id="rId24"/>
    <sheet name="Z_6.3.3.sz.mell" sheetId="141" state="hidden" r:id="rId25"/>
    <sheet name="Z_6.4.sz.mell" sheetId="145" r:id="rId26"/>
    <sheet name="Z_6.4.1.sz.mell" sheetId="146" r:id="rId27"/>
    <sheet name="Z_6.4.2.sz.mell" sheetId="147" state="hidden" r:id="rId28"/>
    <sheet name="Z_6.4.3.sz.mell" sheetId="148" state="hidden" r:id="rId29"/>
    <sheet name="Z_6.5.sz.mell" sheetId="149" state="hidden" r:id="rId30"/>
    <sheet name="Z_6.5.1.sz.mell" sheetId="150" state="hidden" r:id="rId31"/>
    <sheet name="Z_6.5.2.sz.mell" sheetId="151" state="hidden" r:id="rId32"/>
    <sheet name="Z_6.5.3.sz.mell" sheetId="152" state="hidden" r:id="rId33"/>
    <sheet name="Z_6.6.sz.mell" sheetId="153" state="hidden" r:id="rId34"/>
    <sheet name="Z_6.6.1.sz.mell" sheetId="154" state="hidden" r:id="rId35"/>
    <sheet name="Z_6.6.2.sz.mell" sheetId="155" state="hidden" r:id="rId36"/>
    <sheet name="Z_6.6.3.sz.mell" sheetId="156" state="hidden" r:id="rId37"/>
    <sheet name="Z_6.7.sz.mell" sheetId="157" state="hidden" r:id="rId38"/>
    <sheet name="Z_6.7.1.sz.mell" sheetId="158" state="hidden" r:id="rId39"/>
    <sheet name="Z_6.7.2.sz.mell" sheetId="159" state="hidden" r:id="rId40"/>
    <sheet name="Z_6.7.3.sz.mell" sheetId="160" state="hidden" r:id="rId41"/>
    <sheet name="Z_6.8.sz.mell" sheetId="161" state="hidden" r:id="rId42"/>
    <sheet name="Z_6.8.1.sz.mell" sheetId="162" state="hidden" r:id="rId43"/>
    <sheet name="Z_6.8.2.sz.mell" sheetId="163" state="hidden" r:id="rId44"/>
    <sheet name="Z_6.8.3.sz.mell" sheetId="164" state="hidden" r:id="rId45"/>
    <sheet name="Z_6.9.sz.mell" sheetId="169" state="hidden" r:id="rId46"/>
    <sheet name="Z_6.9.1.sz.mell" sheetId="170" state="hidden" r:id="rId47"/>
    <sheet name="Z_6.9.2.sz.mell" sheetId="171" state="hidden" r:id="rId48"/>
    <sheet name="Z_6.9.3.sz.mell" sheetId="172" state="hidden" r:id="rId49"/>
    <sheet name="Z_6.10.sz.mell" sheetId="173" state="hidden" r:id="rId50"/>
    <sheet name="Z_6.10.1.sz.mell" sheetId="174" state="hidden" r:id="rId51"/>
    <sheet name="Z_6.10.2.sz.mell" sheetId="175" state="hidden" r:id="rId52"/>
    <sheet name="Z_6.10.3.sz.mell" sheetId="176" state="hidden" r:id="rId53"/>
    <sheet name="Z_6.11.sz.mell" sheetId="177" state="hidden" r:id="rId54"/>
    <sheet name="Z_6.11.1.sz.mell" sheetId="178" state="hidden" r:id="rId55"/>
    <sheet name="Z_6.11.2.sz.mell" sheetId="179" state="hidden" r:id="rId56"/>
    <sheet name="Z_6.11.3.sz.mell" sheetId="180" state="hidden" r:id="rId57"/>
    <sheet name="Z_6.12.sz.mell" sheetId="181" state="hidden" r:id="rId58"/>
    <sheet name="Z_6.12.1.sz.mell" sheetId="182" state="hidden" r:id="rId59"/>
    <sheet name="Z_6.12.2.sz.mell" sheetId="183" state="hidden" r:id="rId60"/>
    <sheet name="Z_6.12.3.sz.mell" sheetId="184" state="hidden" r:id="rId61"/>
    <sheet name="Z_7.sz.mell" sheetId="211" r:id="rId62"/>
    <sheet name="Z_8.sz.mell" sheetId="210" r:id="rId63"/>
    <sheet name="Z_1.tájékoztató_t." sheetId="197" r:id="rId64"/>
    <sheet name="Z_2.tájékoztató_t." sheetId="198" r:id="rId65"/>
    <sheet name="Z_3.tájékoztató_t." sheetId="199" r:id="rId66"/>
    <sheet name="Z_4.tájékoztató_t." sheetId="200" r:id="rId67"/>
    <sheet name="Z_5.tájékoztató_t." sheetId="201" r:id="rId68"/>
    <sheet name="Z_6.tájékoztató_t." sheetId="202" r:id="rId69"/>
    <sheet name="Z_7.1.tájékoztató_t." sheetId="203" r:id="rId70"/>
    <sheet name="Z_7.2.tájékoztató_t." sheetId="204" r:id="rId71"/>
    <sheet name="Z_7.3.tájékoztató_t." sheetId="205" r:id="rId72"/>
    <sheet name="Z_8.tájékoztató_t." sheetId="207" r:id="rId73"/>
    <sheet name="Z_9.tájékoztató_t." sheetId="208" r:id="rId74"/>
  </sheets>
  <externalReferences>
    <externalReference r:id="rId75"/>
  </externalReferences>
  <definedNames>
    <definedName name="_ftn1" localSheetId="71">'Z_7.3.tájékoztató_t.'!$A$31</definedName>
    <definedName name="_ftnref1" localSheetId="71">'Z_7.3.tájékoztató_t.'!$A$22</definedName>
    <definedName name="_xlnm.Print_Titles" localSheetId="14">'Z_6.1.1.sz.mell'!$1:$6</definedName>
    <definedName name="_xlnm.Print_Titles" localSheetId="15">'Z_6.1.2.sz.mell'!$1:$6</definedName>
    <definedName name="_xlnm.Print_Titles" localSheetId="16">'Z_6.1.3.sz.mell'!$1:$6</definedName>
    <definedName name="_xlnm.Print_Titles" localSheetId="13">'Z_6.1.sz.mell'!$1:$6</definedName>
    <definedName name="_xlnm.Print_Titles" localSheetId="50">'Z_6.10.1.sz.mell'!$1:$6</definedName>
    <definedName name="_xlnm.Print_Titles" localSheetId="51">'Z_6.10.2.sz.mell'!$1:$6</definedName>
    <definedName name="_xlnm.Print_Titles" localSheetId="52">'Z_6.10.3.sz.mell'!$1:$6</definedName>
    <definedName name="_xlnm.Print_Titles" localSheetId="49">'Z_6.10.sz.mell'!$1:$6</definedName>
    <definedName name="_xlnm.Print_Titles" localSheetId="54">'Z_6.11.1.sz.mell'!$1:$6</definedName>
    <definedName name="_xlnm.Print_Titles" localSheetId="55">'Z_6.11.2.sz.mell'!$1:$6</definedName>
    <definedName name="_xlnm.Print_Titles" localSheetId="56">'Z_6.11.3.sz.mell'!$1:$6</definedName>
    <definedName name="_xlnm.Print_Titles" localSheetId="53">'Z_6.11.sz.mell'!$1:$6</definedName>
    <definedName name="_xlnm.Print_Titles" localSheetId="58">'Z_6.12.1.sz.mell'!$1:$6</definedName>
    <definedName name="_xlnm.Print_Titles" localSheetId="59">'Z_6.12.2.sz.mell'!$1:$6</definedName>
    <definedName name="_xlnm.Print_Titles" localSheetId="60">'Z_6.12.3.sz.mell'!$1:$6</definedName>
    <definedName name="_xlnm.Print_Titles" localSheetId="57">'Z_6.12.sz.mell'!$1:$6</definedName>
    <definedName name="_xlnm.Print_Titles" localSheetId="18">'Z_6.2.1.sz.mell'!$1:$6</definedName>
    <definedName name="_xlnm.Print_Titles" localSheetId="19">'Z_6.2.2.sz.mell'!$1:$6</definedName>
    <definedName name="_xlnm.Print_Titles" localSheetId="20">'Z_6.2.3.sz.mell'!$1:$6</definedName>
    <definedName name="_xlnm.Print_Titles" localSheetId="17">'Z_6.2.sz.mell'!$1:$6</definedName>
    <definedName name="_xlnm.Print_Titles" localSheetId="22">'Z_6.3.1.sz.mell'!$1:$6</definedName>
    <definedName name="_xlnm.Print_Titles" localSheetId="23">'Z_6.3.2.sz.mell'!$1:$6</definedName>
    <definedName name="_xlnm.Print_Titles" localSheetId="24">'Z_6.3.3.sz.mell'!$1:$6</definedName>
    <definedName name="_xlnm.Print_Titles" localSheetId="21">'Z_6.3.sz.mell'!$1:$6</definedName>
    <definedName name="_xlnm.Print_Titles" localSheetId="26">'Z_6.4.1.sz.mell'!$1:$6</definedName>
    <definedName name="_xlnm.Print_Titles" localSheetId="27">'Z_6.4.2.sz.mell'!$1:$6</definedName>
    <definedName name="_xlnm.Print_Titles" localSheetId="28">'Z_6.4.3.sz.mell'!$1:$6</definedName>
    <definedName name="_xlnm.Print_Titles" localSheetId="25">'Z_6.4.sz.mell'!$1:$6</definedName>
    <definedName name="_xlnm.Print_Titles" localSheetId="30">'Z_6.5.1.sz.mell'!$1:$6</definedName>
    <definedName name="_xlnm.Print_Titles" localSheetId="31">'Z_6.5.2.sz.mell'!$1:$6</definedName>
    <definedName name="_xlnm.Print_Titles" localSheetId="32">'Z_6.5.3.sz.mell'!$1:$6</definedName>
    <definedName name="_xlnm.Print_Titles" localSheetId="29">'Z_6.5.sz.mell'!$1:$6</definedName>
    <definedName name="_xlnm.Print_Titles" localSheetId="34">'Z_6.6.1.sz.mell'!$1:$6</definedName>
    <definedName name="_xlnm.Print_Titles" localSheetId="35">'Z_6.6.2.sz.mell'!$1:$6</definedName>
    <definedName name="_xlnm.Print_Titles" localSheetId="36">'Z_6.6.3.sz.mell'!$1:$6</definedName>
    <definedName name="_xlnm.Print_Titles" localSheetId="33">'Z_6.6.sz.mell'!$1:$6</definedName>
    <definedName name="_xlnm.Print_Titles" localSheetId="38">'Z_6.7.1.sz.mell'!$1:$6</definedName>
    <definedName name="_xlnm.Print_Titles" localSheetId="39">'Z_6.7.2.sz.mell'!$1:$6</definedName>
    <definedName name="_xlnm.Print_Titles" localSheetId="40">'Z_6.7.3.sz.mell'!$1:$6</definedName>
    <definedName name="_xlnm.Print_Titles" localSheetId="37">'Z_6.7.sz.mell'!$1:$6</definedName>
    <definedName name="_xlnm.Print_Titles" localSheetId="42">'Z_6.8.1.sz.mell'!$1:$6</definedName>
    <definedName name="_xlnm.Print_Titles" localSheetId="43">'Z_6.8.2.sz.mell'!$1:$6</definedName>
    <definedName name="_xlnm.Print_Titles" localSheetId="44">'Z_6.8.3.sz.mell'!$1:$6</definedName>
    <definedName name="_xlnm.Print_Titles" localSheetId="41">'Z_6.8.sz.mell'!$1:$6</definedName>
    <definedName name="_xlnm.Print_Titles" localSheetId="46">'Z_6.9.1.sz.mell'!$1:$6</definedName>
    <definedName name="_xlnm.Print_Titles" localSheetId="47">'Z_6.9.2.sz.mell'!$1:$6</definedName>
    <definedName name="_xlnm.Print_Titles" localSheetId="48">'Z_6.9.3.sz.mell'!$1:$6</definedName>
    <definedName name="_xlnm.Print_Titles" localSheetId="45">'Z_6.9.sz.mell'!$1:$6</definedName>
    <definedName name="_xlnm.Print_Titles" localSheetId="69">'Z_7.1.tájékoztató_t.'!$5:$9</definedName>
    <definedName name="_xlnm.Print_Area" localSheetId="3">'Z_1.1.sz.mell.'!$A$1:$E$166</definedName>
    <definedName name="_xlnm.Print_Area" localSheetId="4">'Z_1.2.sz.mell.'!$A$1:$E$166</definedName>
    <definedName name="_xlnm.Print_Area" localSheetId="5">'Z_1.3.sz.mell.'!$A$1:$E$166</definedName>
    <definedName name="_xlnm.Print_Area" localSheetId="6">'Z_1.4.sz.mell.'!$A$1:$E$166</definedName>
    <definedName name="_xlnm.Print_Area" localSheetId="63">'Z_1.tájékoztató_t.'!$A$1:$E$155</definedName>
    <definedName name="_xlnm.Print_Area" localSheetId="11">'Z_4.sz.mell.'!$A$1:$H$24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5" i="138" l="1"/>
  <c r="E65" i="138"/>
  <c r="F29" i="211"/>
  <c r="E60" i="146"/>
  <c r="D60" i="146"/>
  <c r="C60" i="146"/>
  <c r="E59" i="146"/>
  <c r="D59" i="146"/>
  <c r="C59" i="146"/>
  <c r="E56" i="146"/>
  <c r="D56" i="146"/>
  <c r="C56" i="146"/>
  <c r="E55" i="146"/>
  <c r="D55" i="146"/>
  <c r="C55" i="146"/>
  <c r="E54" i="146"/>
  <c r="D54" i="146"/>
  <c r="C54" i="146"/>
  <c r="E53" i="146"/>
  <c r="D53" i="146"/>
  <c r="C53" i="146"/>
  <c r="E52" i="146"/>
  <c r="D52" i="146"/>
  <c r="C52" i="146"/>
  <c r="E50" i="146"/>
  <c r="D50" i="146"/>
  <c r="C50" i="146"/>
  <c r="E49" i="146"/>
  <c r="D49" i="146"/>
  <c r="C49" i="146"/>
  <c r="E48" i="146"/>
  <c r="D48" i="146"/>
  <c r="C48" i="146"/>
  <c r="E47" i="146"/>
  <c r="D47" i="146"/>
  <c r="C47" i="146"/>
  <c r="E46" i="146"/>
  <c r="D46" i="146"/>
  <c r="C46" i="146"/>
  <c r="E40" i="146"/>
  <c r="D40" i="146"/>
  <c r="C40" i="146"/>
  <c r="E39" i="146"/>
  <c r="D39" i="146"/>
  <c r="C39" i="146"/>
  <c r="E38" i="146"/>
  <c r="D38" i="146"/>
  <c r="C38" i="146"/>
  <c r="E35" i="146"/>
  <c r="D35" i="146"/>
  <c r="C35" i="146"/>
  <c r="E34" i="146"/>
  <c r="D34" i="146"/>
  <c r="C34" i="146"/>
  <c r="E33" i="146"/>
  <c r="D33" i="146"/>
  <c r="C33" i="146"/>
  <c r="E32" i="146"/>
  <c r="D32" i="146"/>
  <c r="C32" i="146"/>
  <c r="E31" i="146"/>
  <c r="D31" i="146"/>
  <c r="C31" i="146"/>
  <c r="E29" i="146"/>
  <c r="D29" i="146"/>
  <c r="C29" i="146"/>
  <c r="E28" i="146"/>
  <c r="D28" i="146"/>
  <c r="C28" i="146"/>
  <c r="E27" i="146"/>
  <c r="D27" i="146"/>
  <c r="C27" i="146"/>
  <c r="E25" i="146"/>
  <c r="D25" i="146"/>
  <c r="C25" i="146"/>
  <c r="E24" i="146"/>
  <c r="D24" i="146"/>
  <c r="C24" i="146"/>
  <c r="E23" i="146"/>
  <c r="D23" i="146"/>
  <c r="C23" i="146"/>
  <c r="E22" i="146"/>
  <c r="D22" i="146"/>
  <c r="C22" i="146"/>
  <c r="E21" i="146"/>
  <c r="D21" i="146"/>
  <c r="C21" i="146"/>
  <c r="E19" i="146"/>
  <c r="D19" i="146"/>
  <c r="C19" i="146"/>
  <c r="E18" i="146"/>
  <c r="D18" i="146"/>
  <c r="C18" i="146"/>
  <c r="E17" i="146"/>
  <c r="D17" i="146"/>
  <c r="C17" i="146"/>
  <c r="E16" i="146"/>
  <c r="D16" i="146"/>
  <c r="C16" i="146"/>
  <c r="E15" i="146"/>
  <c r="D15" i="146"/>
  <c r="C15" i="146"/>
  <c r="E14" i="146"/>
  <c r="D14" i="146"/>
  <c r="C14" i="146"/>
  <c r="E13" i="146"/>
  <c r="D13" i="146"/>
  <c r="C13" i="146"/>
  <c r="E12" i="146"/>
  <c r="D12" i="146"/>
  <c r="C12" i="146"/>
  <c r="E11" i="146"/>
  <c r="D11" i="146"/>
  <c r="C11" i="146"/>
  <c r="E10" i="146"/>
  <c r="D10" i="146"/>
  <c r="C10" i="146"/>
  <c r="E9" i="146"/>
  <c r="D9" i="146"/>
  <c r="C9" i="146"/>
  <c r="E60" i="139"/>
  <c r="D60" i="139"/>
  <c r="C60" i="139"/>
  <c r="E59" i="139"/>
  <c r="D59" i="139"/>
  <c r="C59" i="139"/>
  <c r="E56" i="139"/>
  <c r="D56" i="139"/>
  <c r="C56" i="139"/>
  <c r="E55" i="139"/>
  <c r="D55" i="139"/>
  <c r="C55" i="139"/>
  <c r="E54" i="139"/>
  <c r="D54" i="139"/>
  <c r="C54" i="139"/>
  <c r="E53" i="139"/>
  <c r="D53" i="139"/>
  <c r="C53" i="139"/>
  <c r="E52" i="139"/>
  <c r="D52" i="139"/>
  <c r="C52" i="139"/>
  <c r="E50" i="139"/>
  <c r="D50" i="139"/>
  <c r="C50" i="139"/>
  <c r="E49" i="139"/>
  <c r="D49" i="139"/>
  <c r="C49" i="139"/>
  <c r="E48" i="139"/>
  <c r="D48" i="139"/>
  <c r="C48" i="139"/>
  <c r="E47" i="139"/>
  <c r="D47" i="139"/>
  <c r="C47" i="139"/>
  <c r="E46" i="139"/>
  <c r="D46" i="139"/>
  <c r="C46" i="139"/>
  <c r="E40" i="139"/>
  <c r="D40" i="139"/>
  <c r="C40" i="139"/>
  <c r="E39" i="139"/>
  <c r="D39" i="139"/>
  <c r="C39" i="139"/>
  <c r="E38" i="139"/>
  <c r="D38" i="139"/>
  <c r="C38" i="139"/>
  <c r="E35" i="139"/>
  <c r="D35" i="139"/>
  <c r="C35" i="139"/>
  <c r="E34" i="139"/>
  <c r="D34" i="139"/>
  <c r="C34" i="139"/>
  <c r="E33" i="139"/>
  <c r="D33" i="139"/>
  <c r="C33" i="139"/>
  <c r="E32" i="139"/>
  <c r="D32" i="139"/>
  <c r="C32" i="139"/>
  <c r="E31" i="139"/>
  <c r="D31" i="139"/>
  <c r="C31" i="139"/>
  <c r="E29" i="139"/>
  <c r="D29" i="139"/>
  <c r="C29" i="139"/>
  <c r="E28" i="139"/>
  <c r="D28" i="139"/>
  <c r="C28" i="139"/>
  <c r="E27" i="139"/>
  <c r="D27" i="139"/>
  <c r="C27" i="139"/>
  <c r="E25" i="139"/>
  <c r="D25" i="139"/>
  <c r="C25" i="139"/>
  <c r="E24" i="139"/>
  <c r="D24" i="139"/>
  <c r="C24" i="139"/>
  <c r="E23" i="139"/>
  <c r="D23" i="139"/>
  <c r="C23" i="139"/>
  <c r="E22" i="139"/>
  <c r="D22" i="139"/>
  <c r="C22" i="139"/>
  <c r="E21" i="139"/>
  <c r="D21" i="139"/>
  <c r="C21" i="139"/>
  <c r="E19" i="139"/>
  <c r="D19" i="139"/>
  <c r="C19" i="139"/>
  <c r="E18" i="139"/>
  <c r="D18" i="139"/>
  <c r="C18" i="139"/>
  <c r="E17" i="139"/>
  <c r="D17" i="139"/>
  <c r="C17" i="139"/>
  <c r="E16" i="139"/>
  <c r="D16" i="139"/>
  <c r="C16" i="139"/>
  <c r="E15" i="139"/>
  <c r="D15" i="139"/>
  <c r="C15" i="139"/>
  <c r="E14" i="139"/>
  <c r="D14" i="139"/>
  <c r="C14" i="139"/>
  <c r="E13" i="139"/>
  <c r="D13" i="139"/>
  <c r="C13" i="139"/>
  <c r="E12" i="139"/>
  <c r="D12" i="139"/>
  <c r="C12" i="139"/>
  <c r="E11" i="139"/>
  <c r="D11" i="139"/>
  <c r="C11" i="139"/>
  <c r="E10" i="139"/>
  <c r="D10" i="139"/>
  <c r="C10" i="139"/>
  <c r="E9" i="139"/>
  <c r="D9" i="139"/>
  <c r="C9" i="139"/>
  <c r="E61" i="138"/>
  <c r="D61" i="138"/>
  <c r="C61" i="138"/>
  <c r="E60" i="138"/>
  <c r="D60" i="138"/>
  <c r="C60" i="138"/>
  <c r="E57" i="138"/>
  <c r="D57" i="138"/>
  <c r="C57" i="138"/>
  <c r="E56" i="138"/>
  <c r="D56" i="138"/>
  <c r="C56" i="138"/>
  <c r="E55" i="138"/>
  <c r="D55" i="138"/>
  <c r="C55" i="138"/>
  <c r="E54" i="138"/>
  <c r="D54" i="138"/>
  <c r="C54" i="138"/>
  <c r="E53" i="138"/>
  <c r="D53" i="138"/>
  <c r="C53" i="138"/>
  <c r="E51" i="138"/>
  <c r="D51" i="138"/>
  <c r="C51" i="138"/>
  <c r="E50" i="138"/>
  <c r="D50" i="138"/>
  <c r="C50" i="138"/>
  <c r="E49" i="138"/>
  <c r="D49" i="138"/>
  <c r="C49" i="138"/>
  <c r="E48" i="138"/>
  <c r="D48" i="138"/>
  <c r="C48" i="138"/>
  <c r="E47" i="138"/>
  <c r="D47" i="138"/>
  <c r="C47" i="138"/>
  <c r="E41" i="138"/>
  <c r="D41" i="138"/>
  <c r="C41" i="138"/>
  <c r="E40" i="138"/>
  <c r="D40" i="138"/>
  <c r="C40" i="138"/>
  <c r="E39" i="138"/>
  <c r="D39" i="138"/>
  <c r="C39" i="138"/>
  <c r="E36" i="138"/>
  <c r="D36" i="138"/>
  <c r="C36" i="138"/>
  <c r="E35" i="138"/>
  <c r="D35" i="138"/>
  <c r="C35" i="138"/>
  <c r="E34" i="138"/>
  <c r="D34" i="138"/>
  <c r="C34" i="138"/>
  <c r="E33" i="138"/>
  <c r="D33" i="138"/>
  <c r="C33" i="138"/>
  <c r="E32" i="138"/>
  <c r="D32" i="138"/>
  <c r="C32" i="138"/>
  <c r="E30" i="138"/>
  <c r="D30" i="138"/>
  <c r="C30" i="138"/>
  <c r="E29" i="138"/>
  <c r="D29" i="138"/>
  <c r="C29" i="138"/>
  <c r="E28" i="138"/>
  <c r="D28" i="138"/>
  <c r="C28" i="138"/>
  <c r="E27" i="138"/>
  <c r="D27" i="138"/>
  <c r="C27" i="138"/>
  <c r="E25" i="138"/>
  <c r="D25" i="138"/>
  <c r="C25" i="138"/>
  <c r="E24" i="138"/>
  <c r="D24" i="138"/>
  <c r="C24" i="138"/>
  <c r="E23" i="138"/>
  <c r="D23" i="138"/>
  <c r="C23" i="138"/>
  <c r="E22" i="138"/>
  <c r="D22" i="138"/>
  <c r="C22" i="138"/>
  <c r="E21" i="138"/>
  <c r="D21" i="138"/>
  <c r="C21" i="138"/>
  <c r="E19" i="138"/>
  <c r="D19" i="138"/>
  <c r="C19" i="138"/>
  <c r="E18" i="138"/>
  <c r="D18" i="138"/>
  <c r="C18" i="138"/>
  <c r="E17" i="138"/>
  <c r="D17" i="138"/>
  <c r="C17" i="138"/>
  <c r="E16" i="138"/>
  <c r="D16" i="138"/>
  <c r="C16" i="138"/>
  <c r="E15" i="138"/>
  <c r="D15" i="138"/>
  <c r="C15" i="138"/>
  <c r="E14" i="138"/>
  <c r="D14" i="138"/>
  <c r="C14" i="138"/>
  <c r="E13" i="138"/>
  <c r="D13" i="138"/>
  <c r="C13" i="138"/>
  <c r="E12" i="138"/>
  <c r="D12" i="138"/>
  <c r="C12" i="138"/>
  <c r="E11" i="138"/>
  <c r="D11" i="138"/>
  <c r="C11" i="138"/>
  <c r="E10" i="138"/>
  <c r="D10" i="138"/>
  <c r="C10" i="138"/>
  <c r="E9" i="138"/>
  <c r="D9" i="138"/>
  <c r="C9" i="138"/>
  <c r="E158" i="133"/>
  <c r="D158" i="133"/>
  <c r="C158" i="133"/>
  <c r="E157" i="133"/>
  <c r="D157" i="133"/>
  <c r="C157" i="133"/>
  <c r="E153" i="133"/>
  <c r="D153" i="133"/>
  <c r="C153" i="133"/>
  <c r="E152" i="133"/>
  <c r="D152" i="133"/>
  <c r="C152" i="133"/>
  <c r="E151" i="133"/>
  <c r="D151" i="133"/>
  <c r="C151" i="133"/>
  <c r="E150" i="133"/>
  <c r="D150" i="133"/>
  <c r="C150" i="133"/>
  <c r="E149" i="133"/>
  <c r="D149" i="133"/>
  <c r="C149" i="133"/>
  <c r="E148" i="133"/>
  <c r="D148" i="133"/>
  <c r="C148" i="133"/>
  <c r="E147" i="133"/>
  <c r="D147" i="133"/>
  <c r="C147" i="133"/>
  <c r="E145" i="133"/>
  <c r="D145" i="133"/>
  <c r="C145" i="133"/>
  <c r="E144" i="133"/>
  <c r="D144" i="133"/>
  <c r="C144" i="133"/>
  <c r="E143" i="133"/>
  <c r="D143" i="133"/>
  <c r="C143" i="133"/>
  <c r="E142" i="133"/>
  <c r="D142" i="133"/>
  <c r="C142" i="133"/>
  <c r="E141" i="133"/>
  <c r="D141" i="133"/>
  <c r="C141" i="133"/>
  <c r="E139" i="133"/>
  <c r="D139" i="133"/>
  <c r="C139" i="133"/>
  <c r="E138" i="133"/>
  <c r="D138" i="133"/>
  <c r="C138" i="133"/>
  <c r="E137" i="133"/>
  <c r="D137" i="133"/>
  <c r="C137" i="133"/>
  <c r="E136" i="133"/>
  <c r="D136" i="133"/>
  <c r="C136" i="133"/>
  <c r="E135" i="133"/>
  <c r="D135" i="133"/>
  <c r="C135" i="133"/>
  <c r="E134" i="133"/>
  <c r="D134" i="133"/>
  <c r="C134" i="133"/>
  <c r="E132" i="133"/>
  <c r="D132" i="133"/>
  <c r="C132" i="133"/>
  <c r="E131" i="133"/>
  <c r="D131" i="133"/>
  <c r="C131" i="133"/>
  <c r="E130" i="133"/>
  <c r="D130" i="133"/>
  <c r="C130" i="133"/>
  <c r="E127" i="133"/>
  <c r="D127" i="133"/>
  <c r="C127" i="133"/>
  <c r="E126" i="133"/>
  <c r="D126" i="133"/>
  <c r="C126" i="133"/>
  <c r="E125" i="133"/>
  <c r="D125" i="133"/>
  <c r="C125" i="133"/>
  <c r="E124" i="133"/>
  <c r="D124" i="133"/>
  <c r="C124" i="133"/>
  <c r="E123" i="133"/>
  <c r="D123" i="133"/>
  <c r="C123" i="133"/>
  <c r="E122" i="133"/>
  <c r="D122" i="133"/>
  <c r="C122" i="133"/>
  <c r="E121" i="133"/>
  <c r="D121" i="133"/>
  <c r="C121" i="133"/>
  <c r="E120" i="133"/>
  <c r="D120" i="133"/>
  <c r="C120" i="133"/>
  <c r="E119" i="133"/>
  <c r="D119" i="133"/>
  <c r="C119" i="133"/>
  <c r="C118" i="133"/>
  <c r="E117" i="133"/>
  <c r="D117" i="133"/>
  <c r="C117" i="133"/>
  <c r="C116" i="133"/>
  <c r="E115" i="133"/>
  <c r="D115" i="133"/>
  <c r="C115" i="133"/>
  <c r="E113" i="133"/>
  <c r="D113" i="133"/>
  <c r="C113" i="133"/>
  <c r="E112" i="133"/>
  <c r="D112" i="133"/>
  <c r="C112" i="133"/>
  <c r="E111" i="133"/>
  <c r="D111" i="133"/>
  <c r="C111" i="133"/>
  <c r="E110" i="133"/>
  <c r="D110" i="133"/>
  <c r="C110" i="133"/>
  <c r="E109" i="133"/>
  <c r="D109" i="133"/>
  <c r="C109" i="133"/>
  <c r="E108" i="133"/>
  <c r="D108" i="133"/>
  <c r="C108" i="133"/>
  <c r="E107" i="133"/>
  <c r="D107" i="133"/>
  <c r="C107" i="133"/>
  <c r="E106" i="133"/>
  <c r="D106" i="133"/>
  <c r="C106" i="133"/>
  <c r="E105" i="133"/>
  <c r="D105" i="133"/>
  <c r="C105" i="133"/>
  <c r="E104" i="133"/>
  <c r="D104" i="133"/>
  <c r="C104" i="133"/>
  <c r="E103" i="133"/>
  <c r="D103" i="133"/>
  <c r="C103" i="133"/>
  <c r="E102" i="133"/>
  <c r="D102" i="133"/>
  <c r="C102" i="133"/>
  <c r="E101" i="133"/>
  <c r="D101" i="133"/>
  <c r="C101" i="133"/>
  <c r="E100" i="133"/>
  <c r="D100" i="133"/>
  <c r="C100" i="133"/>
  <c r="E99" i="133"/>
  <c r="D99" i="133"/>
  <c r="C99" i="133"/>
  <c r="E98" i="133"/>
  <c r="D98" i="133"/>
  <c r="E97" i="133"/>
  <c r="D97" i="133"/>
  <c r="C97" i="133"/>
  <c r="E96" i="133"/>
  <c r="D96" i="133"/>
  <c r="C96" i="133"/>
  <c r="E95" i="133"/>
  <c r="D95" i="133"/>
  <c r="C95" i="133"/>
  <c r="E94" i="133"/>
  <c r="D94" i="133"/>
  <c r="C94" i="133"/>
  <c r="E88" i="133"/>
  <c r="D88" i="133"/>
  <c r="C88" i="133"/>
  <c r="E87" i="133"/>
  <c r="D87" i="133"/>
  <c r="C87" i="133"/>
  <c r="E86" i="133"/>
  <c r="D86" i="133"/>
  <c r="C86" i="133"/>
  <c r="E85" i="133"/>
  <c r="D85" i="133"/>
  <c r="C85" i="133"/>
  <c r="E84" i="133"/>
  <c r="D84" i="133"/>
  <c r="C84" i="133"/>
  <c r="E83" i="133"/>
  <c r="D83" i="133"/>
  <c r="C83" i="133"/>
  <c r="E81" i="133"/>
  <c r="D81" i="133"/>
  <c r="C81" i="133"/>
  <c r="E80" i="133"/>
  <c r="D80" i="133"/>
  <c r="C80" i="133"/>
  <c r="E79" i="133"/>
  <c r="D79" i="133"/>
  <c r="C79" i="133"/>
  <c r="E77" i="133"/>
  <c r="D77" i="133"/>
  <c r="C77" i="133"/>
  <c r="E76" i="133"/>
  <c r="D76" i="133"/>
  <c r="C76" i="133"/>
  <c r="E74" i="133"/>
  <c r="D74" i="133"/>
  <c r="C74" i="133"/>
  <c r="E73" i="133"/>
  <c r="D73" i="133"/>
  <c r="C73" i="133"/>
  <c r="E72" i="133"/>
  <c r="D72" i="133"/>
  <c r="C72" i="133"/>
  <c r="E71" i="133"/>
  <c r="D71" i="133"/>
  <c r="C71" i="133"/>
  <c r="E69" i="133"/>
  <c r="D69" i="133"/>
  <c r="C69" i="133"/>
  <c r="E68" i="133"/>
  <c r="D68" i="133"/>
  <c r="C68" i="133"/>
  <c r="E67" i="133"/>
  <c r="D67" i="133"/>
  <c r="C67" i="133"/>
  <c r="E64" i="133"/>
  <c r="D64" i="133"/>
  <c r="C64" i="133"/>
  <c r="E63" i="133"/>
  <c r="D63" i="133"/>
  <c r="C63" i="133"/>
  <c r="E62" i="133"/>
  <c r="D62" i="133"/>
  <c r="C62" i="133"/>
  <c r="E61" i="133"/>
  <c r="D61" i="133"/>
  <c r="C61" i="133"/>
  <c r="E59" i="133"/>
  <c r="D59" i="133"/>
  <c r="C59" i="133"/>
  <c r="E58" i="133"/>
  <c r="D58" i="133"/>
  <c r="C58" i="133"/>
  <c r="E57" i="133"/>
  <c r="D57" i="133"/>
  <c r="C57" i="133"/>
  <c r="E56" i="133"/>
  <c r="D56" i="133"/>
  <c r="C56" i="133"/>
  <c r="E54" i="133"/>
  <c r="D54" i="133"/>
  <c r="C54" i="133"/>
  <c r="E53" i="133"/>
  <c r="D53" i="133"/>
  <c r="C53" i="133"/>
  <c r="E52" i="133"/>
  <c r="D52" i="133"/>
  <c r="C52" i="133"/>
  <c r="E51" i="133"/>
  <c r="D51" i="133"/>
  <c r="C51" i="133"/>
  <c r="E50" i="133"/>
  <c r="D50" i="133"/>
  <c r="C50" i="133"/>
  <c r="E48" i="133"/>
  <c r="D48" i="133"/>
  <c r="C48" i="133"/>
  <c r="E47" i="133"/>
  <c r="D47" i="133"/>
  <c r="C47" i="133"/>
  <c r="E46" i="133"/>
  <c r="D46" i="133"/>
  <c r="C46" i="133"/>
  <c r="E45" i="133"/>
  <c r="D45" i="133"/>
  <c r="C45" i="133"/>
  <c r="E44" i="133"/>
  <c r="D44" i="133"/>
  <c r="C44" i="133"/>
  <c r="E43" i="133"/>
  <c r="D43" i="133"/>
  <c r="C43" i="133"/>
  <c r="E42" i="133"/>
  <c r="D42" i="133"/>
  <c r="C42" i="133"/>
  <c r="E41" i="133"/>
  <c r="D41" i="133"/>
  <c r="C41" i="133"/>
  <c r="E40" i="133"/>
  <c r="D40" i="133"/>
  <c r="C40" i="133"/>
  <c r="E39" i="133"/>
  <c r="D39" i="133"/>
  <c r="C39" i="133"/>
  <c r="E38" i="133"/>
  <c r="D38" i="133"/>
  <c r="C38" i="133"/>
  <c r="E36" i="133"/>
  <c r="D36" i="133"/>
  <c r="C36" i="133"/>
  <c r="E35" i="133"/>
  <c r="D35" i="133"/>
  <c r="C35" i="133"/>
  <c r="E34" i="133"/>
  <c r="D34" i="133"/>
  <c r="C34" i="133"/>
  <c r="E33" i="133"/>
  <c r="D33" i="133"/>
  <c r="C33" i="133"/>
  <c r="E32" i="133"/>
  <c r="D32" i="133"/>
  <c r="C32" i="133"/>
  <c r="E31" i="133"/>
  <c r="D31" i="133"/>
  <c r="C31" i="133"/>
  <c r="E30" i="133"/>
  <c r="D30" i="133"/>
  <c r="C30" i="133"/>
  <c r="D28" i="133"/>
  <c r="C28" i="133"/>
  <c r="E27" i="133"/>
  <c r="D27" i="133"/>
  <c r="C27" i="133"/>
  <c r="E26" i="133"/>
  <c r="D26" i="133"/>
  <c r="C26" i="133"/>
  <c r="E25" i="133"/>
  <c r="D25" i="133"/>
  <c r="C25" i="133"/>
  <c r="E24" i="133"/>
  <c r="D24" i="133"/>
  <c r="C24" i="133"/>
  <c r="E23" i="133"/>
  <c r="D23" i="133"/>
  <c r="C23" i="133"/>
  <c r="E21" i="133"/>
  <c r="D21" i="133"/>
  <c r="C21" i="133"/>
  <c r="E20" i="133"/>
  <c r="D20" i="133"/>
  <c r="C20" i="133"/>
  <c r="E19" i="133"/>
  <c r="D19" i="133"/>
  <c r="C19" i="133"/>
  <c r="E18" i="133"/>
  <c r="D18" i="133"/>
  <c r="C18" i="133"/>
  <c r="E17" i="133"/>
  <c r="D17" i="133"/>
  <c r="C17" i="133"/>
  <c r="E16" i="133"/>
  <c r="D16" i="133"/>
  <c r="C16" i="133"/>
  <c r="E14" i="133"/>
  <c r="D14" i="133"/>
  <c r="C14" i="133"/>
  <c r="E13" i="133"/>
  <c r="D13" i="133"/>
  <c r="C13" i="133"/>
  <c r="E12" i="133"/>
  <c r="D12" i="133"/>
  <c r="C12" i="133"/>
  <c r="E11" i="133"/>
  <c r="D11" i="133"/>
  <c r="C11" i="133"/>
  <c r="E10" i="133"/>
  <c r="D10" i="133"/>
  <c r="C10" i="133"/>
  <c r="E9" i="133"/>
  <c r="D9" i="133"/>
  <c r="C9" i="133"/>
  <c r="B14" i="213"/>
  <c r="B15" i="213"/>
  <c r="B16" i="213"/>
  <c r="B17" i="213"/>
  <c r="B18" i="213"/>
  <c r="B24" i="213"/>
  <c r="B23" i="213"/>
  <c r="B22" i="213"/>
  <c r="B21" i="213"/>
  <c r="B20" i="213"/>
  <c r="B13" i="213"/>
  <c r="I45" i="213"/>
  <c r="E39" i="213"/>
  <c r="F39" i="213" s="1"/>
  <c r="I21" i="213"/>
  <c r="C10" i="213"/>
  <c r="F10" i="213"/>
  <c r="I10" i="213"/>
  <c r="D11" i="213"/>
  <c r="G11" i="213"/>
  <c r="I13" i="213"/>
  <c r="I14" i="213"/>
  <c r="I15" i="213"/>
  <c r="I16" i="213"/>
  <c r="I17" i="213"/>
  <c r="I18" i="213"/>
  <c r="C19" i="213"/>
  <c r="D19" i="213"/>
  <c r="E19" i="213"/>
  <c r="F19" i="213"/>
  <c r="G19" i="213"/>
  <c r="H19" i="213"/>
  <c r="I20" i="213"/>
  <c r="I22" i="213"/>
  <c r="I23" i="213"/>
  <c r="I24" i="213"/>
  <c r="C25" i="213"/>
  <c r="D25" i="213"/>
  <c r="E25" i="213"/>
  <c r="F25" i="213"/>
  <c r="G25" i="213"/>
  <c r="H25" i="213"/>
  <c r="B33" i="213"/>
  <c r="C34" i="213"/>
  <c r="F34" i="213"/>
  <c r="I34" i="213"/>
  <c r="D35" i="213"/>
  <c r="G35" i="213"/>
  <c r="B37" i="213"/>
  <c r="I37" i="213"/>
  <c r="B38" i="213"/>
  <c r="I38" i="213"/>
  <c r="B40" i="213"/>
  <c r="I40" i="213"/>
  <c r="B41" i="213"/>
  <c r="I41" i="213"/>
  <c r="B42" i="213"/>
  <c r="I42" i="213"/>
  <c r="C43" i="213"/>
  <c r="D43" i="213"/>
  <c r="G43" i="213"/>
  <c r="H43" i="213"/>
  <c r="B44" i="213"/>
  <c r="I44" i="213"/>
  <c r="B45" i="213"/>
  <c r="B46" i="213"/>
  <c r="I46" i="213"/>
  <c r="B47" i="213"/>
  <c r="I47" i="213"/>
  <c r="B48" i="213"/>
  <c r="I48" i="213"/>
  <c r="C49" i="213"/>
  <c r="D49" i="213"/>
  <c r="E49" i="213"/>
  <c r="F49" i="213"/>
  <c r="G49" i="213"/>
  <c r="H49" i="213"/>
  <c r="D7" i="94"/>
  <c r="H1" i="64" s="1"/>
  <c r="E159" i="142"/>
  <c r="D159" i="142"/>
  <c r="C159" i="142"/>
  <c r="E158" i="142"/>
  <c r="D158" i="142"/>
  <c r="C158" i="142"/>
  <c r="E157" i="142"/>
  <c r="D157" i="142"/>
  <c r="C157" i="142"/>
  <c r="E156" i="142"/>
  <c r="D156" i="142"/>
  <c r="C156" i="142"/>
  <c r="E155" i="142"/>
  <c r="D155" i="142"/>
  <c r="C155" i="142"/>
  <c r="E154" i="142"/>
  <c r="D154" i="142"/>
  <c r="C154" i="142"/>
  <c r="E153" i="142"/>
  <c r="D153" i="142"/>
  <c r="C153" i="142"/>
  <c r="E151" i="142"/>
  <c r="D151" i="142"/>
  <c r="C151" i="142"/>
  <c r="E150" i="142"/>
  <c r="D150" i="142"/>
  <c r="C150" i="142"/>
  <c r="E149" i="142"/>
  <c r="D149" i="142"/>
  <c r="C149" i="142"/>
  <c r="E148" i="142"/>
  <c r="D148" i="142"/>
  <c r="C148" i="142"/>
  <c r="E146" i="142"/>
  <c r="D146" i="142"/>
  <c r="C146" i="142"/>
  <c r="E145" i="142"/>
  <c r="D145" i="142"/>
  <c r="C145" i="142"/>
  <c r="E144" i="142"/>
  <c r="D144" i="142"/>
  <c r="C144" i="142"/>
  <c r="E143" i="142"/>
  <c r="D143" i="142"/>
  <c r="C143" i="142"/>
  <c r="E142" i="142"/>
  <c r="D142" i="142"/>
  <c r="C142" i="142"/>
  <c r="E141" i="142"/>
  <c r="D141" i="142"/>
  <c r="C141" i="142"/>
  <c r="E139" i="142"/>
  <c r="D139" i="142"/>
  <c r="C139" i="142"/>
  <c r="E138" i="142"/>
  <c r="D138" i="142"/>
  <c r="C138" i="142"/>
  <c r="E137" i="142"/>
  <c r="D137" i="142"/>
  <c r="C137" i="142"/>
  <c r="E134" i="142"/>
  <c r="D134" i="142"/>
  <c r="C134" i="142"/>
  <c r="E133" i="142"/>
  <c r="D133" i="142"/>
  <c r="C133" i="142"/>
  <c r="E132" i="142"/>
  <c r="D132" i="142"/>
  <c r="C132" i="142"/>
  <c r="E131" i="142"/>
  <c r="D131" i="142"/>
  <c r="C131" i="142"/>
  <c r="E130" i="142"/>
  <c r="D130" i="142"/>
  <c r="C130" i="142"/>
  <c r="E129" i="142"/>
  <c r="D129" i="142"/>
  <c r="C129" i="142"/>
  <c r="E128" i="142"/>
  <c r="D128" i="142"/>
  <c r="C128" i="142"/>
  <c r="E127" i="142"/>
  <c r="D127" i="142"/>
  <c r="C127" i="142"/>
  <c r="E126" i="142"/>
  <c r="D126" i="142"/>
  <c r="C126" i="142"/>
  <c r="D125" i="142"/>
  <c r="C125" i="142"/>
  <c r="E124" i="142"/>
  <c r="D124" i="142"/>
  <c r="C124" i="142"/>
  <c r="D123" i="142"/>
  <c r="C123" i="142"/>
  <c r="E122" i="142"/>
  <c r="D122" i="142"/>
  <c r="C122" i="142"/>
  <c r="E120" i="142"/>
  <c r="D120" i="142"/>
  <c r="C120" i="142"/>
  <c r="E119" i="142"/>
  <c r="D119" i="142"/>
  <c r="C119" i="142"/>
  <c r="E118" i="142"/>
  <c r="D118" i="142"/>
  <c r="C118" i="142"/>
  <c r="E117" i="142"/>
  <c r="D117" i="142"/>
  <c r="C117" i="142"/>
  <c r="E116" i="142"/>
  <c r="D116" i="142"/>
  <c r="C116" i="142"/>
  <c r="E115" i="142"/>
  <c r="D115" i="142"/>
  <c r="C115" i="142"/>
  <c r="E114" i="142"/>
  <c r="D114" i="142"/>
  <c r="C114" i="142"/>
  <c r="E113" i="142"/>
  <c r="D113" i="142"/>
  <c r="C113" i="142"/>
  <c r="E112" i="142"/>
  <c r="D112" i="142"/>
  <c r="C112" i="142"/>
  <c r="E111" i="142"/>
  <c r="D111" i="142"/>
  <c r="C111" i="142"/>
  <c r="E110" i="142"/>
  <c r="D110" i="142"/>
  <c r="C110" i="142"/>
  <c r="E109" i="142"/>
  <c r="D109" i="142"/>
  <c r="C109" i="142"/>
  <c r="E108" i="142"/>
  <c r="D108" i="142"/>
  <c r="C108" i="142"/>
  <c r="E107" i="142"/>
  <c r="D107" i="142"/>
  <c r="C107" i="142"/>
  <c r="E106" i="142"/>
  <c r="D106" i="142"/>
  <c r="C106" i="142"/>
  <c r="E105" i="142"/>
  <c r="D105" i="142"/>
  <c r="C105" i="142"/>
  <c r="E104" i="142"/>
  <c r="D104" i="142"/>
  <c r="C104" i="142"/>
  <c r="E103" i="142"/>
  <c r="D103" i="142"/>
  <c r="C103" i="142"/>
  <c r="E102" i="142"/>
  <c r="D102" i="142"/>
  <c r="C102" i="142"/>
  <c r="E101" i="142"/>
  <c r="D101" i="142"/>
  <c r="C101" i="142"/>
  <c r="E91" i="142"/>
  <c r="D91" i="142"/>
  <c r="C91" i="142"/>
  <c r="E90" i="142"/>
  <c r="D90" i="142"/>
  <c r="C90" i="142"/>
  <c r="E89" i="142"/>
  <c r="D89" i="142"/>
  <c r="C89" i="142"/>
  <c r="E88" i="142"/>
  <c r="D88" i="142"/>
  <c r="C88" i="142"/>
  <c r="E87" i="142"/>
  <c r="D87" i="142"/>
  <c r="C87" i="142"/>
  <c r="E86" i="142"/>
  <c r="D86" i="142"/>
  <c r="C86" i="142"/>
  <c r="E84" i="142"/>
  <c r="D84" i="142"/>
  <c r="C84" i="142"/>
  <c r="E83" i="142"/>
  <c r="D83" i="142"/>
  <c r="C83" i="142"/>
  <c r="E82" i="142"/>
  <c r="D82" i="142"/>
  <c r="C82" i="142"/>
  <c r="E80" i="142"/>
  <c r="D80" i="142"/>
  <c r="C80" i="142"/>
  <c r="E79" i="142"/>
  <c r="D79" i="142"/>
  <c r="C79" i="142"/>
  <c r="E77" i="142"/>
  <c r="D77" i="142"/>
  <c r="C77" i="142"/>
  <c r="E76" i="142"/>
  <c r="D76" i="142"/>
  <c r="C76" i="142"/>
  <c r="E75" i="142"/>
  <c r="D75" i="142"/>
  <c r="C75" i="142"/>
  <c r="E74" i="142"/>
  <c r="D74" i="142"/>
  <c r="C74" i="142"/>
  <c r="E72" i="142"/>
  <c r="D72" i="142"/>
  <c r="C72" i="142"/>
  <c r="E71" i="142"/>
  <c r="D71" i="142"/>
  <c r="C71" i="142"/>
  <c r="E70" i="142"/>
  <c r="D70" i="142"/>
  <c r="C70" i="142"/>
  <c r="E67" i="142"/>
  <c r="D67" i="142"/>
  <c r="C67" i="142"/>
  <c r="E66" i="142"/>
  <c r="D66" i="142"/>
  <c r="C66" i="142"/>
  <c r="E65" i="142"/>
  <c r="D65" i="142"/>
  <c r="C65" i="142"/>
  <c r="E64" i="142"/>
  <c r="D64" i="142"/>
  <c r="C64" i="142"/>
  <c r="E62" i="142"/>
  <c r="D62" i="142"/>
  <c r="C62" i="142"/>
  <c r="E61" i="142"/>
  <c r="D61" i="142"/>
  <c r="C61" i="142"/>
  <c r="E60" i="142"/>
  <c r="D60" i="142"/>
  <c r="C60" i="142"/>
  <c r="E59" i="142"/>
  <c r="D59" i="142"/>
  <c r="C59" i="142"/>
  <c r="E57" i="142"/>
  <c r="D57" i="142"/>
  <c r="C57" i="142"/>
  <c r="E56" i="142"/>
  <c r="D56" i="142"/>
  <c r="C56" i="142"/>
  <c r="E55" i="142"/>
  <c r="D55" i="142"/>
  <c r="C55" i="142"/>
  <c r="E54" i="142"/>
  <c r="D54" i="142"/>
  <c r="C54" i="142"/>
  <c r="E53" i="142"/>
  <c r="D53" i="142"/>
  <c r="C53" i="142"/>
  <c r="E51" i="142"/>
  <c r="D51" i="142"/>
  <c r="C51" i="142"/>
  <c r="E50" i="142"/>
  <c r="D50" i="142"/>
  <c r="C50" i="142"/>
  <c r="E49" i="142"/>
  <c r="D49" i="142"/>
  <c r="C49" i="142"/>
  <c r="E48" i="142"/>
  <c r="D48" i="142"/>
  <c r="C48" i="142"/>
  <c r="E47" i="142"/>
  <c r="D47" i="142"/>
  <c r="C47" i="142"/>
  <c r="E46" i="142"/>
  <c r="D46" i="142"/>
  <c r="C46" i="142"/>
  <c r="E45" i="142"/>
  <c r="D45" i="142"/>
  <c r="C45" i="142"/>
  <c r="E44" i="142"/>
  <c r="D44" i="142"/>
  <c r="C44" i="142"/>
  <c r="E43" i="142"/>
  <c r="D43" i="142"/>
  <c r="C43" i="142"/>
  <c r="E42" i="142"/>
  <c r="D42" i="142"/>
  <c r="C42" i="142"/>
  <c r="E41" i="142"/>
  <c r="D41" i="142"/>
  <c r="C41" i="142"/>
  <c r="D39" i="142"/>
  <c r="C39" i="142"/>
  <c r="E38" i="142"/>
  <c r="D38" i="142"/>
  <c r="C38" i="142"/>
  <c r="E37" i="142"/>
  <c r="D37" i="142"/>
  <c r="C37" i="142"/>
  <c r="E36" i="142"/>
  <c r="D36" i="142"/>
  <c r="C36" i="142"/>
  <c r="E35" i="142"/>
  <c r="D35" i="142"/>
  <c r="C35" i="142"/>
  <c r="E34" i="142"/>
  <c r="D34" i="142"/>
  <c r="C34" i="142"/>
  <c r="E33" i="142"/>
  <c r="D33" i="142"/>
  <c r="C33" i="142"/>
  <c r="E31" i="142"/>
  <c r="D31" i="142"/>
  <c r="C31" i="142"/>
  <c r="E30" i="142"/>
  <c r="D30" i="142"/>
  <c r="C30" i="142"/>
  <c r="E29" i="142"/>
  <c r="D29" i="142"/>
  <c r="C29" i="142"/>
  <c r="E28" i="142"/>
  <c r="D28" i="142"/>
  <c r="C28" i="142"/>
  <c r="E27" i="142"/>
  <c r="D27" i="142"/>
  <c r="C27" i="142"/>
  <c r="E26" i="142"/>
  <c r="D26" i="142"/>
  <c r="C26" i="142"/>
  <c r="E24" i="142"/>
  <c r="D24" i="142"/>
  <c r="C24" i="142"/>
  <c r="E23" i="142"/>
  <c r="D23" i="142"/>
  <c r="C23" i="142"/>
  <c r="E22" i="142"/>
  <c r="D22" i="142"/>
  <c r="C22" i="142"/>
  <c r="E21" i="142"/>
  <c r="D21" i="142"/>
  <c r="C21" i="142"/>
  <c r="E20" i="142"/>
  <c r="D20" i="142"/>
  <c r="C20" i="142"/>
  <c r="E19" i="142"/>
  <c r="D19" i="142"/>
  <c r="C19" i="142"/>
  <c r="E17" i="142"/>
  <c r="D17" i="142"/>
  <c r="C17" i="142"/>
  <c r="E16" i="142"/>
  <c r="D16" i="142"/>
  <c r="C16" i="142"/>
  <c r="E15" i="142"/>
  <c r="D15" i="142"/>
  <c r="C15" i="142"/>
  <c r="E14" i="142"/>
  <c r="D14" i="142"/>
  <c r="C14" i="142"/>
  <c r="E13" i="142"/>
  <c r="D13" i="142"/>
  <c r="C13" i="142"/>
  <c r="E12" i="142"/>
  <c r="D12" i="142"/>
  <c r="C12" i="142"/>
  <c r="C66" i="203"/>
  <c r="D63" i="203"/>
  <c r="D66" i="203" s="1"/>
  <c r="D62" i="203"/>
  <c r="C62" i="203"/>
  <c r="D57" i="203"/>
  <c r="C57" i="203"/>
  <c r="D48" i="203"/>
  <c r="C48" i="203"/>
  <c r="D43" i="203"/>
  <c r="C43" i="203"/>
  <c r="D41" i="203"/>
  <c r="D38" i="203"/>
  <c r="D37" i="203" s="1"/>
  <c r="C38" i="203"/>
  <c r="C37" i="203" s="1"/>
  <c r="D32" i="203"/>
  <c r="C32" i="203"/>
  <c r="D27" i="203"/>
  <c r="C27" i="203"/>
  <c r="C10" i="203"/>
  <c r="G23" i="199"/>
  <c r="G9" i="199"/>
  <c r="H9" i="199"/>
  <c r="H23" i="199"/>
  <c r="I9" i="199"/>
  <c r="I23" i="199" s="1"/>
  <c r="F9" i="199"/>
  <c r="I7" i="199"/>
  <c r="H7" i="199"/>
  <c r="G7" i="199"/>
  <c r="F7" i="199"/>
  <c r="C7" i="208"/>
  <c r="E151" i="197"/>
  <c r="D151" i="197"/>
  <c r="E150" i="197"/>
  <c r="D150" i="197"/>
  <c r="E149" i="197"/>
  <c r="D149" i="197"/>
  <c r="E147" i="197"/>
  <c r="D147" i="197"/>
  <c r="E144" i="197"/>
  <c r="D144" i="197"/>
  <c r="E142" i="197"/>
  <c r="D142" i="197"/>
  <c r="E140" i="197"/>
  <c r="D140" i="197"/>
  <c r="D136" i="197" s="1"/>
  <c r="E139" i="197"/>
  <c r="D139" i="197"/>
  <c r="E138" i="197"/>
  <c r="D138" i="197"/>
  <c r="E137" i="197"/>
  <c r="D137" i="197"/>
  <c r="E135" i="197"/>
  <c r="D135" i="197"/>
  <c r="E134" i="197"/>
  <c r="D134" i="197"/>
  <c r="E133" i="197"/>
  <c r="E132" i="197" s="1"/>
  <c r="D133" i="197"/>
  <c r="E130" i="197"/>
  <c r="D130" i="197"/>
  <c r="E129" i="197"/>
  <c r="D129" i="197"/>
  <c r="E128" i="197"/>
  <c r="D128" i="197"/>
  <c r="E127" i="197"/>
  <c r="D127" i="197"/>
  <c r="E126" i="197"/>
  <c r="D126" i="197"/>
  <c r="E125" i="197"/>
  <c r="D125" i="197"/>
  <c r="E124" i="197"/>
  <c r="D124" i="197"/>
  <c r="E123" i="197"/>
  <c r="D123" i="197"/>
  <c r="E122" i="197"/>
  <c r="D122" i="197"/>
  <c r="D121" i="197"/>
  <c r="E120" i="197"/>
  <c r="D120" i="197"/>
  <c r="D119" i="197"/>
  <c r="E118" i="197"/>
  <c r="E117" i="197" s="1"/>
  <c r="D118" i="197"/>
  <c r="E116" i="197"/>
  <c r="D116" i="197"/>
  <c r="E115" i="197"/>
  <c r="D115" i="197"/>
  <c r="E114" i="197"/>
  <c r="D114" i="197"/>
  <c r="E113" i="197"/>
  <c r="D113" i="197"/>
  <c r="E112" i="197"/>
  <c r="D112" i="197"/>
  <c r="E111" i="197"/>
  <c r="D111" i="197"/>
  <c r="E110" i="197"/>
  <c r="D110" i="197"/>
  <c r="E109" i="197"/>
  <c r="D109" i="197"/>
  <c r="E108" i="197"/>
  <c r="D108" i="197"/>
  <c r="E107" i="197"/>
  <c r="D107" i="197"/>
  <c r="E106" i="197"/>
  <c r="D106" i="197"/>
  <c r="E105" i="197"/>
  <c r="D105" i="197"/>
  <c r="E104" i="197"/>
  <c r="D104" i="197"/>
  <c r="E103" i="197"/>
  <c r="D103" i="197"/>
  <c r="E102" i="197"/>
  <c r="D102" i="197"/>
  <c r="E101" i="197"/>
  <c r="D101" i="197"/>
  <c r="E100" i="197"/>
  <c r="D100" i="197"/>
  <c r="E99" i="197"/>
  <c r="D99" i="197"/>
  <c r="E98" i="197"/>
  <c r="D98" i="197"/>
  <c r="E97" i="197"/>
  <c r="E96" i="197" s="1"/>
  <c r="D97" i="197"/>
  <c r="D96" i="197" s="1"/>
  <c r="E87" i="197"/>
  <c r="D87" i="197"/>
  <c r="E86" i="197"/>
  <c r="D86" i="197"/>
  <c r="E85" i="197"/>
  <c r="D85" i="197"/>
  <c r="E84" i="197"/>
  <c r="E83" i="197" s="1"/>
  <c r="D84" i="197"/>
  <c r="E82" i="197"/>
  <c r="D82" i="197"/>
  <c r="E81" i="197"/>
  <c r="D81" i="197"/>
  <c r="E80" i="197"/>
  <c r="D80" i="197"/>
  <c r="E78" i="197"/>
  <c r="E76" i="197" s="1"/>
  <c r="D78" i="197"/>
  <c r="E77" i="197"/>
  <c r="D77" i="197"/>
  <c r="E75" i="197"/>
  <c r="D75" i="197"/>
  <c r="E74" i="197"/>
  <c r="D74" i="197"/>
  <c r="E73" i="197"/>
  <c r="D73" i="197"/>
  <c r="E72" i="197"/>
  <c r="D72" i="197"/>
  <c r="E70" i="197"/>
  <c r="D70" i="197"/>
  <c r="D67" i="197" s="1"/>
  <c r="E69" i="197"/>
  <c r="D69" i="197"/>
  <c r="E68" i="197"/>
  <c r="D68" i="197"/>
  <c r="E65" i="197"/>
  <c r="D65" i="197"/>
  <c r="E64" i="197"/>
  <c r="D64" i="197"/>
  <c r="E63" i="197"/>
  <c r="D63" i="197"/>
  <c r="E62" i="197"/>
  <c r="E61" i="197" s="1"/>
  <c r="D62" i="197"/>
  <c r="E60" i="197"/>
  <c r="D60" i="197"/>
  <c r="E59" i="197"/>
  <c r="D59" i="197"/>
  <c r="E58" i="197"/>
  <c r="D58" i="197"/>
  <c r="E57" i="197"/>
  <c r="E56" i="197" s="1"/>
  <c r="D57" i="197"/>
  <c r="E55" i="197"/>
  <c r="D55" i="197"/>
  <c r="E54" i="197"/>
  <c r="D54" i="197"/>
  <c r="D50" i="197" s="1"/>
  <c r="E53" i="197"/>
  <c r="D53" i="197"/>
  <c r="E52" i="197"/>
  <c r="E50" i="197" s="1"/>
  <c r="D52" i="197"/>
  <c r="E51" i="197"/>
  <c r="D51" i="197"/>
  <c r="E49" i="197"/>
  <c r="D49" i="197"/>
  <c r="E48" i="197"/>
  <c r="D48" i="197"/>
  <c r="E47" i="197"/>
  <c r="D47" i="197"/>
  <c r="E46" i="197"/>
  <c r="D46" i="197"/>
  <c r="E45" i="197"/>
  <c r="D45" i="197"/>
  <c r="E44" i="197"/>
  <c r="D44" i="197"/>
  <c r="E43" i="197"/>
  <c r="D43" i="197"/>
  <c r="E42" i="197"/>
  <c r="D42" i="197"/>
  <c r="E41" i="197"/>
  <c r="D41" i="197"/>
  <c r="E40" i="197"/>
  <c r="D40" i="197"/>
  <c r="E39" i="197"/>
  <c r="D39" i="197"/>
  <c r="D38" i="197" s="1"/>
  <c r="D37" i="197"/>
  <c r="E36" i="197"/>
  <c r="D36" i="197"/>
  <c r="E35" i="197"/>
  <c r="D35" i="197"/>
  <c r="E34" i="197"/>
  <c r="D34" i="197"/>
  <c r="E33" i="197"/>
  <c r="D33" i="197"/>
  <c r="E32" i="197"/>
  <c r="D32" i="197"/>
  <c r="E31" i="197"/>
  <c r="D31" i="197"/>
  <c r="E29" i="197"/>
  <c r="D29" i="197"/>
  <c r="E28" i="197"/>
  <c r="D28" i="197"/>
  <c r="E27" i="197"/>
  <c r="D27" i="197"/>
  <c r="D23" i="197" s="1"/>
  <c r="E26" i="197"/>
  <c r="D26" i="197"/>
  <c r="E25" i="197"/>
  <c r="D25" i="197"/>
  <c r="E24" i="197"/>
  <c r="D24" i="197"/>
  <c r="E22" i="197"/>
  <c r="D22" i="197"/>
  <c r="E21" i="197"/>
  <c r="D21" i="197"/>
  <c r="E20" i="197"/>
  <c r="D20" i="197"/>
  <c r="E19" i="197"/>
  <c r="D19" i="197"/>
  <c r="E18" i="197"/>
  <c r="E16" i="197" s="1"/>
  <c r="D18" i="197"/>
  <c r="E17" i="197"/>
  <c r="D17" i="197"/>
  <c r="E15" i="197"/>
  <c r="D15" i="197"/>
  <c r="E14" i="197"/>
  <c r="D14" i="197"/>
  <c r="E13" i="197"/>
  <c r="D13" i="197"/>
  <c r="E12" i="197"/>
  <c r="D12" i="197"/>
  <c r="E11" i="197"/>
  <c r="E9" i="197" s="1"/>
  <c r="D11" i="197"/>
  <c r="E10" i="197"/>
  <c r="D10" i="197"/>
  <c r="C37" i="197"/>
  <c r="C38" i="197"/>
  <c r="E25" i="73"/>
  <c r="C25" i="73"/>
  <c r="D25" i="73"/>
  <c r="I10" i="73"/>
  <c r="I9" i="73"/>
  <c r="I8" i="73"/>
  <c r="I7" i="73"/>
  <c r="I6" i="73"/>
  <c r="E39" i="1"/>
  <c r="E39" i="142" s="1"/>
  <c r="I8" i="61"/>
  <c r="I6" i="61"/>
  <c r="H7" i="61"/>
  <c r="H8" i="61"/>
  <c r="H9" i="61"/>
  <c r="H6" i="61"/>
  <c r="G9" i="61"/>
  <c r="G26" i="64"/>
  <c r="E125" i="1"/>
  <c r="E125" i="142" s="1"/>
  <c r="G25" i="63"/>
  <c r="E123" i="1"/>
  <c r="D19" i="73"/>
  <c r="D29" i="73"/>
  <c r="D38" i="79"/>
  <c r="D38" i="138" s="1"/>
  <c r="D118" i="3"/>
  <c r="D118" i="133" s="1"/>
  <c r="D116" i="3"/>
  <c r="D116" i="133"/>
  <c r="C98" i="3"/>
  <c r="C98" i="133" s="1"/>
  <c r="E28" i="3"/>
  <c r="E28" i="133" s="1"/>
  <c r="E28" i="211"/>
  <c r="E27" i="211"/>
  <c r="E26" i="211"/>
  <c r="E25" i="211"/>
  <c r="E24" i="211"/>
  <c r="E23" i="211"/>
  <c r="E22" i="211"/>
  <c r="E21" i="211"/>
  <c r="E20" i="211"/>
  <c r="E19" i="211"/>
  <c r="E18" i="211"/>
  <c r="E17" i="211"/>
  <c r="E16" i="211"/>
  <c r="E15" i="211"/>
  <c r="E14" i="211"/>
  <c r="E13" i="211"/>
  <c r="E12" i="211"/>
  <c r="E11" i="211"/>
  <c r="E10" i="211"/>
  <c r="E9" i="211"/>
  <c r="G23" i="64"/>
  <c r="G22" i="64"/>
  <c r="G21" i="64"/>
  <c r="G20" i="64"/>
  <c r="G19" i="64"/>
  <c r="G18" i="64"/>
  <c r="G17" i="64"/>
  <c r="G16" i="64"/>
  <c r="G15" i="64"/>
  <c r="G14" i="64"/>
  <c r="G13" i="64"/>
  <c r="G12" i="64"/>
  <c r="G11" i="64"/>
  <c r="G10" i="64"/>
  <c r="G9" i="64"/>
  <c r="G8" i="64"/>
  <c r="G7" i="64"/>
  <c r="G6" i="64"/>
  <c r="G5" i="64"/>
  <c r="G24" i="64" s="1"/>
  <c r="G22" i="63"/>
  <c r="G21" i="63"/>
  <c r="G20" i="63"/>
  <c r="G19" i="63"/>
  <c r="G18" i="63"/>
  <c r="G17" i="63"/>
  <c r="G16" i="63"/>
  <c r="G15" i="63"/>
  <c r="G14" i="63"/>
  <c r="G13" i="63"/>
  <c r="G12" i="63"/>
  <c r="G11" i="63"/>
  <c r="G10" i="63"/>
  <c r="G9" i="63"/>
  <c r="G8" i="63"/>
  <c r="G7" i="63"/>
  <c r="G6" i="63"/>
  <c r="G5" i="63"/>
  <c r="B1" i="94"/>
  <c r="A3" i="143" s="1"/>
  <c r="B11" i="209" s="1"/>
  <c r="B18" i="209"/>
  <c r="K13" i="94"/>
  <c r="M13" i="94" s="1"/>
  <c r="K11" i="94"/>
  <c r="M11" i="94"/>
  <c r="B36" i="135"/>
  <c r="B35" i="135"/>
  <c r="B34" i="135"/>
  <c r="B33" i="135"/>
  <c r="B32" i="135"/>
  <c r="B31" i="135"/>
  <c r="B30" i="135"/>
  <c r="B36" i="134"/>
  <c r="B35" i="134"/>
  <c r="B34" i="134"/>
  <c r="B33" i="134"/>
  <c r="B32" i="134"/>
  <c r="B31" i="134"/>
  <c r="B30" i="134"/>
  <c r="B36" i="133"/>
  <c r="B35" i="133"/>
  <c r="B34" i="133"/>
  <c r="B33" i="133"/>
  <c r="B32" i="133"/>
  <c r="B31" i="133"/>
  <c r="B30" i="133"/>
  <c r="B31" i="3"/>
  <c r="B32" i="3"/>
  <c r="B33" i="3"/>
  <c r="B34" i="3"/>
  <c r="B35" i="3"/>
  <c r="B30" i="3"/>
  <c r="B39" i="144"/>
  <c r="B38" i="144"/>
  <c r="B37" i="144"/>
  <c r="B36" i="144"/>
  <c r="B35" i="144"/>
  <c r="B34" i="144"/>
  <c r="B33" i="144"/>
  <c r="B39" i="143"/>
  <c r="B38" i="143"/>
  <c r="B37" i="143"/>
  <c r="B36" i="143"/>
  <c r="B35" i="143"/>
  <c r="B34" i="143"/>
  <c r="B33" i="143"/>
  <c r="B34" i="142"/>
  <c r="B35" i="142"/>
  <c r="B36" i="142"/>
  <c r="B37" i="142"/>
  <c r="B38" i="142"/>
  <c r="B39" i="142"/>
  <c r="B33" i="142"/>
  <c r="E18" i="73"/>
  <c r="D18" i="73"/>
  <c r="C18" i="73"/>
  <c r="B34" i="209"/>
  <c r="G29" i="211"/>
  <c r="D29" i="211"/>
  <c r="C29" i="211"/>
  <c r="E25" i="210"/>
  <c r="D25" i="210"/>
  <c r="C25" i="210"/>
  <c r="A1" i="203"/>
  <c r="J3" i="199"/>
  <c r="B1" i="133"/>
  <c r="B1" i="142"/>
  <c r="B23" i="209"/>
  <c r="B32" i="209"/>
  <c r="B31" i="209"/>
  <c r="B30" i="209"/>
  <c r="B29" i="209"/>
  <c r="B28" i="209"/>
  <c r="B27" i="209"/>
  <c r="B26" i="209"/>
  <c r="B25" i="209"/>
  <c r="B24" i="209"/>
  <c r="B33" i="209"/>
  <c r="B37" i="209"/>
  <c r="B38" i="209"/>
  <c r="B40" i="209"/>
  <c r="B42" i="209"/>
  <c r="B43" i="209"/>
  <c r="A2" i="207"/>
  <c r="B44" i="209"/>
  <c r="A2" i="197"/>
  <c r="E23" i="207"/>
  <c r="D23" i="207"/>
  <c r="D22" i="205"/>
  <c r="D18" i="205"/>
  <c r="D13" i="205"/>
  <c r="D42" i="205"/>
  <c r="C20" i="204"/>
  <c r="C16" i="204"/>
  <c r="E69" i="203"/>
  <c r="E66" i="203"/>
  <c r="E62" i="203"/>
  <c r="E57" i="203"/>
  <c r="E48" i="203"/>
  <c r="E43" i="203"/>
  <c r="E38" i="203"/>
  <c r="E37" i="203" s="1"/>
  <c r="E32" i="203"/>
  <c r="E27" i="203"/>
  <c r="E22" i="203"/>
  <c r="D22" i="203"/>
  <c r="C22" i="203"/>
  <c r="E17" i="203"/>
  <c r="D17" i="203"/>
  <c r="C17" i="203"/>
  <c r="E12" i="203"/>
  <c r="D12" i="203"/>
  <c r="D11" i="203" s="1"/>
  <c r="C12" i="203"/>
  <c r="C11" i="203"/>
  <c r="E41" i="202"/>
  <c r="D41" i="202"/>
  <c r="D33" i="201"/>
  <c r="C33" i="201"/>
  <c r="G18" i="200"/>
  <c r="F18" i="200"/>
  <c r="F19" i="200" s="1"/>
  <c r="E18" i="200"/>
  <c r="D18" i="200"/>
  <c r="C18" i="200"/>
  <c r="H17" i="200"/>
  <c r="H18" i="200" s="1"/>
  <c r="H16" i="200"/>
  <c r="G14" i="200"/>
  <c r="G19" i="200"/>
  <c r="F14" i="200"/>
  <c r="E14" i="200"/>
  <c r="E19" i="200" s="1"/>
  <c r="D14" i="200"/>
  <c r="D19" i="200" s="1"/>
  <c r="C14" i="200"/>
  <c r="H13" i="200"/>
  <c r="I13" i="200" s="1"/>
  <c r="H12" i="200"/>
  <c r="I12" i="200"/>
  <c r="H11" i="200"/>
  <c r="H10" i="200"/>
  <c r="H9" i="200"/>
  <c r="H8" i="200"/>
  <c r="I8" i="200"/>
  <c r="H7" i="200"/>
  <c r="I7" i="200"/>
  <c r="J18" i="198"/>
  <c r="J17" i="198"/>
  <c r="I16" i="198"/>
  <c r="H16" i="198"/>
  <c r="G16" i="198"/>
  <c r="F16" i="198"/>
  <c r="E16" i="198"/>
  <c r="D16" i="198"/>
  <c r="J15" i="198"/>
  <c r="I14" i="198"/>
  <c r="H14" i="198"/>
  <c r="G14" i="198"/>
  <c r="F14" i="198"/>
  <c r="J14" i="198"/>
  <c r="E14" i="198"/>
  <c r="D14" i="198"/>
  <c r="J13" i="198"/>
  <c r="I12" i="198"/>
  <c r="H12" i="198"/>
  <c r="G12" i="198"/>
  <c r="F12" i="198"/>
  <c r="E12" i="198"/>
  <c r="D12" i="198"/>
  <c r="J11" i="198"/>
  <c r="J10" i="198"/>
  <c r="I9" i="198"/>
  <c r="I19" i="198" s="1"/>
  <c r="H9" i="198"/>
  <c r="G9" i="198"/>
  <c r="J9" i="198"/>
  <c r="F9" i="198"/>
  <c r="E9" i="198"/>
  <c r="D9" i="198"/>
  <c r="J8" i="198"/>
  <c r="J7" i="198"/>
  <c r="I6" i="198"/>
  <c r="H6" i="198"/>
  <c r="G6" i="198"/>
  <c r="F6" i="198"/>
  <c r="E6" i="198"/>
  <c r="E19" i="198"/>
  <c r="D6" i="198"/>
  <c r="C146" i="197"/>
  <c r="C141" i="197"/>
  <c r="E136" i="197"/>
  <c r="C136" i="197"/>
  <c r="D132" i="197"/>
  <c r="C132" i="197"/>
  <c r="D117" i="197"/>
  <c r="C117" i="197"/>
  <c r="C96" i="197"/>
  <c r="D83" i="197"/>
  <c r="C83" i="197"/>
  <c r="E79" i="197"/>
  <c r="D79" i="197"/>
  <c r="C79" i="197"/>
  <c r="D76" i="197"/>
  <c r="C76" i="197"/>
  <c r="E71" i="197"/>
  <c r="D71" i="197"/>
  <c r="C71" i="197"/>
  <c r="E67" i="197"/>
  <c r="E89" i="197" s="1"/>
  <c r="C67" i="197"/>
  <c r="D61" i="197"/>
  <c r="C61" i="197"/>
  <c r="D56" i="197"/>
  <c r="C56" i="197"/>
  <c r="C50" i="197"/>
  <c r="E38" i="197"/>
  <c r="D30" i="197"/>
  <c r="C30" i="197"/>
  <c r="E23" i="197"/>
  <c r="C23" i="197"/>
  <c r="D16" i="197"/>
  <c r="C16" i="197"/>
  <c r="D9" i="197"/>
  <c r="C9" i="197"/>
  <c r="B2" i="181"/>
  <c r="B2" i="182"/>
  <c r="B2" i="183" s="1"/>
  <c r="B2" i="184" s="1"/>
  <c r="E51" i="184"/>
  <c r="D51" i="184"/>
  <c r="C51" i="184"/>
  <c r="E45" i="184"/>
  <c r="E57" i="184" s="1"/>
  <c r="D45" i="184"/>
  <c r="C45" i="184"/>
  <c r="C57" i="184"/>
  <c r="E37" i="184"/>
  <c r="D37" i="184"/>
  <c r="C37" i="184"/>
  <c r="E30" i="184"/>
  <c r="E36" i="184" s="1"/>
  <c r="D30" i="184"/>
  <c r="C30" i="184"/>
  <c r="E26" i="184"/>
  <c r="D26" i="184"/>
  <c r="D36" i="184" s="1"/>
  <c r="D41" i="184" s="1"/>
  <c r="C26" i="184"/>
  <c r="E20" i="184"/>
  <c r="D20" i="184"/>
  <c r="C20" i="184"/>
  <c r="E8" i="184"/>
  <c r="D8" i="184"/>
  <c r="C8" i="184"/>
  <c r="C36" i="184" s="1"/>
  <c r="C41" i="184" s="1"/>
  <c r="C58" i="184" s="1"/>
  <c r="E51" i="183"/>
  <c r="D51" i="183"/>
  <c r="C51" i="183"/>
  <c r="E45" i="183"/>
  <c r="E57" i="183" s="1"/>
  <c r="D45" i="183"/>
  <c r="D57" i="183"/>
  <c r="C45" i="183"/>
  <c r="E37" i="183"/>
  <c r="D37" i="183"/>
  <c r="C37" i="183"/>
  <c r="E30" i="183"/>
  <c r="D30" i="183"/>
  <c r="D36" i="183"/>
  <c r="C30" i="183"/>
  <c r="E26" i="183"/>
  <c r="D26" i="183"/>
  <c r="C26" i="183"/>
  <c r="E20" i="183"/>
  <c r="D20" i="183"/>
  <c r="C20" i="183"/>
  <c r="E8" i="183"/>
  <c r="E36" i="183" s="1"/>
  <c r="E41" i="183" s="1"/>
  <c r="D8" i="183"/>
  <c r="C8" i="183"/>
  <c r="C36" i="183" s="1"/>
  <c r="E51" i="182"/>
  <c r="D51" i="182"/>
  <c r="D57" i="182" s="1"/>
  <c r="C51" i="182"/>
  <c r="E45" i="182"/>
  <c r="D45" i="182"/>
  <c r="C45" i="182"/>
  <c r="C57" i="182"/>
  <c r="E37" i="182"/>
  <c r="D37" i="182"/>
  <c r="C37" i="182"/>
  <c r="E30" i="182"/>
  <c r="E36" i="182" s="1"/>
  <c r="D30" i="182"/>
  <c r="C30" i="182"/>
  <c r="E26" i="182"/>
  <c r="D26" i="182"/>
  <c r="C26" i="182"/>
  <c r="E20" i="182"/>
  <c r="D20" i="182"/>
  <c r="D36" i="182" s="1"/>
  <c r="D41" i="182" s="1"/>
  <c r="D58" i="182" s="1"/>
  <c r="C20" i="182"/>
  <c r="E8" i="182"/>
  <c r="D8" i="182"/>
  <c r="C8" i="182"/>
  <c r="E51" i="181"/>
  <c r="E57" i="181" s="1"/>
  <c r="D51" i="181"/>
  <c r="C51" i="181"/>
  <c r="E45" i="181"/>
  <c r="D45" i="181"/>
  <c r="D57" i="181" s="1"/>
  <c r="C45" i="181"/>
  <c r="C57" i="181"/>
  <c r="E37" i="181"/>
  <c r="D37" i="181"/>
  <c r="C37" i="181"/>
  <c r="E30" i="181"/>
  <c r="D30" i="181"/>
  <c r="C30" i="181"/>
  <c r="E26" i="181"/>
  <c r="D26" i="181"/>
  <c r="D36" i="181" s="1"/>
  <c r="D41" i="181" s="1"/>
  <c r="C26" i="181"/>
  <c r="E20" i="181"/>
  <c r="D20" i="181"/>
  <c r="C20" i="181"/>
  <c r="E8" i="181"/>
  <c r="E36" i="181" s="1"/>
  <c r="E41" i="181" s="1"/>
  <c r="D8" i="181"/>
  <c r="C8" i="181"/>
  <c r="C36" i="181"/>
  <c r="C41" i="181" s="1"/>
  <c r="C58" i="181" s="1"/>
  <c r="B2" i="177"/>
  <c r="B2" i="178" s="1"/>
  <c r="B2" i="179" s="1"/>
  <c r="B2" i="180" s="1"/>
  <c r="E51" i="180"/>
  <c r="D51" i="180"/>
  <c r="D57" i="180" s="1"/>
  <c r="C51" i="180"/>
  <c r="E45" i="180"/>
  <c r="E57" i="180"/>
  <c r="D45" i="180"/>
  <c r="C45" i="180"/>
  <c r="E37" i="180"/>
  <c r="D37" i="180"/>
  <c r="C37" i="180"/>
  <c r="E30" i="180"/>
  <c r="D30" i="180"/>
  <c r="C30" i="180"/>
  <c r="E26" i="180"/>
  <c r="D26" i="180"/>
  <c r="D36" i="180" s="1"/>
  <c r="D41" i="180" s="1"/>
  <c r="D58" i="180" s="1"/>
  <c r="C26" i="180"/>
  <c r="C36" i="180" s="1"/>
  <c r="C41" i="180" s="1"/>
  <c r="E20" i="180"/>
  <c r="E36" i="180" s="1"/>
  <c r="E41" i="180" s="1"/>
  <c r="D20" i="180"/>
  <c r="C20" i="180"/>
  <c r="E8" i="180"/>
  <c r="D8" i="180"/>
  <c r="C8" i="180"/>
  <c r="E51" i="179"/>
  <c r="D51" i="179"/>
  <c r="C51" i="179"/>
  <c r="E45" i="179"/>
  <c r="D45" i="179"/>
  <c r="D57" i="179" s="1"/>
  <c r="C45" i="179"/>
  <c r="C57" i="179" s="1"/>
  <c r="E37" i="179"/>
  <c r="D37" i="179"/>
  <c r="C37" i="179"/>
  <c r="E30" i="179"/>
  <c r="D30" i="179"/>
  <c r="C30" i="179"/>
  <c r="E26" i="179"/>
  <c r="D26" i="179"/>
  <c r="C26" i="179"/>
  <c r="E20" i="179"/>
  <c r="D20" i="179"/>
  <c r="D36" i="179" s="1"/>
  <c r="D41" i="179" s="1"/>
  <c r="C20" i="179"/>
  <c r="E8" i="179"/>
  <c r="D8" i="179"/>
  <c r="C8" i="179"/>
  <c r="E51" i="178"/>
  <c r="D51" i="178"/>
  <c r="C51" i="178"/>
  <c r="C57" i="178" s="1"/>
  <c r="E45" i="178"/>
  <c r="E57" i="178" s="1"/>
  <c r="D45" i="178"/>
  <c r="D57" i="178" s="1"/>
  <c r="C45" i="178"/>
  <c r="E37" i="178"/>
  <c r="D37" i="178"/>
  <c r="C37" i="178"/>
  <c r="E30" i="178"/>
  <c r="D30" i="178"/>
  <c r="C30" i="178"/>
  <c r="E26" i="178"/>
  <c r="D26" i="178"/>
  <c r="C26" i="178"/>
  <c r="E20" i="178"/>
  <c r="D20" i="178"/>
  <c r="C20" i="178"/>
  <c r="E8" i="178"/>
  <c r="E36" i="178" s="1"/>
  <c r="D8" i="178"/>
  <c r="C8" i="178"/>
  <c r="C36" i="178"/>
  <c r="C41" i="178"/>
  <c r="E51" i="177"/>
  <c r="D51" i="177"/>
  <c r="D57" i="177" s="1"/>
  <c r="C51" i="177"/>
  <c r="E45" i="177"/>
  <c r="D45" i="177"/>
  <c r="C45" i="177"/>
  <c r="E37" i="177"/>
  <c r="D37" i="177"/>
  <c r="C37" i="177"/>
  <c r="E30" i="177"/>
  <c r="D30" i="177"/>
  <c r="C30" i="177"/>
  <c r="E26" i="177"/>
  <c r="D26" i="177"/>
  <c r="C26" i="177"/>
  <c r="E20" i="177"/>
  <c r="D20" i="177"/>
  <c r="C20" i="177"/>
  <c r="E8" i="177"/>
  <c r="E36" i="177"/>
  <c r="E41" i="177" s="1"/>
  <c r="D8" i="177"/>
  <c r="D36" i="177" s="1"/>
  <c r="D41" i="177" s="1"/>
  <c r="C8" i="177"/>
  <c r="B2" i="173"/>
  <c r="B2" i="174"/>
  <c r="B2" i="175"/>
  <c r="B2" i="176"/>
  <c r="E51" i="176"/>
  <c r="D51" i="176"/>
  <c r="D57" i="176" s="1"/>
  <c r="C51" i="176"/>
  <c r="C57" i="176" s="1"/>
  <c r="E45" i="176"/>
  <c r="D45" i="176"/>
  <c r="C45" i="176"/>
  <c r="E37" i="176"/>
  <c r="D37" i="176"/>
  <c r="C37" i="176"/>
  <c r="E30" i="176"/>
  <c r="D30" i="176"/>
  <c r="C30" i="176"/>
  <c r="E26" i="176"/>
  <c r="D26" i="176"/>
  <c r="C26" i="176"/>
  <c r="E20" i="176"/>
  <c r="E36" i="176" s="1"/>
  <c r="E41" i="176" s="1"/>
  <c r="D20" i="176"/>
  <c r="C20" i="176"/>
  <c r="E8" i="176"/>
  <c r="D8" i="176"/>
  <c r="C8" i="176"/>
  <c r="E51" i="175"/>
  <c r="E57" i="175" s="1"/>
  <c r="D51" i="175"/>
  <c r="C51" i="175"/>
  <c r="E45" i="175"/>
  <c r="D45" i="175"/>
  <c r="C45" i="175"/>
  <c r="C57" i="175"/>
  <c r="E37" i="175"/>
  <c r="D37" i="175"/>
  <c r="C37" i="175"/>
  <c r="E30" i="175"/>
  <c r="D30" i="175"/>
  <c r="C30" i="175"/>
  <c r="E26" i="175"/>
  <c r="D26" i="175"/>
  <c r="D36" i="175"/>
  <c r="D41" i="175" s="1"/>
  <c r="C26" i="175"/>
  <c r="E20" i="175"/>
  <c r="D20" i="175"/>
  <c r="C20" i="175"/>
  <c r="E8" i="175"/>
  <c r="D8" i="175"/>
  <c r="C8" i="175"/>
  <c r="E51" i="174"/>
  <c r="D51" i="174"/>
  <c r="C51" i="174"/>
  <c r="E45" i="174"/>
  <c r="E57" i="174" s="1"/>
  <c r="D45" i="174"/>
  <c r="C45" i="174"/>
  <c r="C57" i="174" s="1"/>
  <c r="E37" i="174"/>
  <c r="D37" i="174"/>
  <c r="C37" i="174"/>
  <c r="E30" i="174"/>
  <c r="D30" i="174"/>
  <c r="C30" i="174"/>
  <c r="E26" i="174"/>
  <c r="D26" i="174"/>
  <c r="C26" i="174"/>
  <c r="E20" i="174"/>
  <c r="D20" i="174"/>
  <c r="C20" i="174"/>
  <c r="E8" i="174"/>
  <c r="E36" i="174" s="1"/>
  <c r="E41" i="174" s="1"/>
  <c r="D8" i="174"/>
  <c r="C8" i="174"/>
  <c r="C36" i="174"/>
  <c r="C41" i="174" s="1"/>
  <c r="C58" i="174" s="1"/>
  <c r="E51" i="173"/>
  <c r="E57" i="173" s="1"/>
  <c r="D51" i="173"/>
  <c r="C51" i="173"/>
  <c r="E45" i="173"/>
  <c r="D45" i="173"/>
  <c r="D57" i="173"/>
  <c r="C45" i="173"/>
  <c r="C57" i="173" s="1"/>
  <c r="E37" i="173"/>
  <c r="D37" i="173"/>
  <c r="C37" i="173"/>
  <c r="E30" i="173"/>
  <c r="D30" i="173"/>
  <c r="C30" i="173"/>
  <c r="E26" i="173"/>
  <c r="E36" i="173"/>
  <c r="E41" i="173" s="1"/>
  <c r="D26" i="173"/>
  <c r="C26" i="173"/>
  <c r="E20" i="173"/>
  <c r="D20" i="173"/>
  <c r="C20" i="173"/>
  <c r="E8" i="173"/>
  <c r="D8" i="173"/>
  <c r="D36" i="173" s="1"/>
  <c r="D41" i="173" s="1"/>
  <c r="D58" i="173" s="1"/>
  <c r="C8" i="173"/>
  <c r="B2" i="169"/>
  <c r="B2" i="170" s="1"/>
  <c r="B2" i="171" s="1"/>
  <c r="B2" i="172"/>
  <c r="E51" i="172"/>
  <c r="D51" i="172"/>
  <c r="C51" i="172"/>
  <c r="E45" i="172"/>
  <c r="E57" i="172"/>
  <c r="D45" i="172"/>
  <c r="D57" i="172"/>
  <c r="C45" i="172"/>
  <c r="C57" i="172" s="1"/>
  <c r="E37" i="172"/>
  <c r="D37" i="172"/>
  <c r="C37" i="172"/>
  <c r="E30" i="172"/>
  <c r="D30" i="172"/>
  <c r="C30" i="172"/>
  <c r="E26" i="172"/>
  <c r="D26" i="172"/>
  <c r="C26" i="172"/>
  <c r="E20" i="172"/>
  <c r="D20" i="172"/>
  <c r="C20" i="172"/>
  <c r="E8" i="172"/>
  <c r="D8" i="172"/>
  <c r="D36" i="172" s="1"/>
  <c r="D41" i="172" s="1"/>
  <c r="D58" i="172" s="1"/>
  <c r="C8" i="172"/>
  <c r="E51" i="171"/>
  <c r="E57" i="171" s="1"/>
  <c r="D51" i="171"/>
  <c r="D57" i="171" s="1"/>
  <c r="C51" i="171"/>
  <c r="E45" i="171"/>
  <c r="D45" i="171"/>
  <c r="C45" i="171"/>
  <c r="C57" i="171"/>
  <c r="E37" i="171"/>
  <c r="D37" i="171"/>
  <c r="C37" i="171"/>
  <c r="E30" i="171"/>
  <c r="D30" i="171"/>
  <c r="C30" i="171"/>
  <c r="C58" i="171"/>
  <c r="E26" i="171"/>
  <c r="D26" i="171"/>
  <c r="C26" i="171"/>
  <c r="E20" i="171"/>
  <c r="D20" i="171"/>
  <c r="C20" i="171"/>
  <c r="C36" i="171" s="1"/>
  <c r="C41" i="171" s="1"/>
  <c r="E8" i="171"/>
  <c r="D8" i="171"/>
  <c r="D36" i="171" s="1"/>
  <c r="C8" i="171"/>
  <c r="E51" i="170"/>
  <c r="D51" i="170"/>
  <c r="C51" i="170"/>
  <c r="C57" i="170" s="1"/>
  <c r="E45" i="170"/>
  <c r="E57" i="170"/>
  <c r="D45" i="170"/>
  <c r="D57" i="170" s="1"/>
  <c r="C45" i="170"/>
  <c r="E37" i="170"/>
  <c r="D37" i="170"/>
  <c r="C37" i="170"/>
  <c r="E30" i="170"/>
  <c r="D30" i="170"/>
  <c r="C30" i="170"/>
  <c r="E26" i="170"/>
  <c r="D26" i="170"/>
  <c r="C26" i="170"/>
  <c r="C36" i="170" s="1"/>
  <c r="E20" i="170"/>
  <c r="D20" i="170"/>
  <c r="D36" i="170"/>
  <c r="D41" i="170" s="1"/>
  <c r="C20" i="170"/>
  <c r="E8" i="170"/>
  <c r="E36" i="170" s="1"/>
  <c r="E41" i="170" s="1"/>
  <c r="D8" i="170"/>
  <c r="C8" i="170"/>
  <c r="C41" i="170"/>
  <c r="E51" i="169"/>
  <c r="D51" i="169"/>
  <c r="C51" i="169"/>
  <c r="C57" i="169" s="1"/>
  <c r="E45" i="169"/>
  <c r="E57" i="169" s="1"/>
  <c r="D45" i="169"/>
  <c r="D57" i="169"/>
  <c r="C45" i="169"/>
  <c r="E37" i="169"/>
  <c r="D37" i="169"/>
  <c r="C37" i="169"/>
  <c r="E30" i="169"/>
  <c r="D30" i="169"/>
  <c r="C30" i="169"/>
  <c r="E26" i="169"/>
  <c r="D26" i="169"/>
  <c r="C26" i="169"/>
  <c r="E20" i="169"/>
  <c r="E36" i="169" s="1"/>
  <c r="E41" i="169" s="1"/>
  <c r="D20" i="169"/>
  <c r="C20" i="169"/>
  <c r="C36" i="169"/>
  <c r="E8" i="169"/>
  <c r="D8" i="169"/>
  <c r="C8" i="169"/>
  <c r="B2" i="161"/>
  <c r="B2" i="162" s="1"/>
  <c r="B2" i="163" s="1"/>
  <c r="B2" i="164"/>
  <c r="E51" i="164"/>
  <c r="D51" i="164"/>
  <c r="C51" i="164"/>
  <c r="E45" i="164"/>
  <c r="E57" i="164"/>
  <c r="D45" i="164"/>
  <c r="D57" i="164"/>
  <c r="C45" i="164"/>
  <c r="C57" i="164" s="1"/>
  <c r="E37" i="164"/>
  <c r="D37" i="164"/>
  <c r="C37" i="164"/>
  <c r="E30" i="164"/>
  <c r="D30" i="164"/>
  <c r="C30" i="164"/>
  <c r="E26" i="164"/>
  <c r="D26" i="164"/>
  <c r="C26" i="164"/>
  <c r="E20" i="164"/>
  <c r="D20" i="164"/>
  <c r="C20" i="164"/>
  <c r="E8" i="164"/>
  <c r="D8" i="164"/>
  <c r="D36" i="164" s="1"/>
  <c r="D41" i="164" s="1"/>
  <c r="C8" i="164"/>
  <c r="E51" i="163"/>
  <c r="D51" i="163"/>
  <c r="C51" i="163"/>
  <c r="C57" i="163" s="1"/>
  <c r="E45" i="163"/>
  <c r="D45" i="163"/>
  <c r="C45" i="163"/>
  <c r="E37" i="163"/>
  <c r="D37" i="163"/>
  <c r="C37" i="163"/>
  <c r="E30" i="163"/>
  <c r="D30" i="163"/>
  <c r="C30" i="163"/>
  <c r="E26" i="163"/>
  <c r="D26" i="163"/>
  <c r="C26" i="163"/>
  <c r="E20" i="163"/>
  <c r="E36" i="163" s="1"/>
  <c r="E41" i="163" s="1"/>
  <c r="D20" i="163"/>
  <c r="C20" i="163"/>
  <c r="E8" i="163"/>
  <c r="D8" i="163"/>
  <c r="C8" i="163"/>
  <c r="E51" i="162"/>
  <c r="E57" i="162" s="1"/>
  <c r="D51" i="162"/>
  <c r="C51" i="162"/>
  <c r="E45" i="162"/>
  <c r="D45" i="162"/>
  <c r="D57" i="162"/>
  <c r="C45" i="162"/>
  <c r="C57" i="162"/>
  <c r="E37" i="162"/>
  <c r="D37" i="162"/>
  <c r="C37" i="162"/>
  <c r="E30" i="162"/>
  <c r="D30" i="162"/>
  <c r="C30" i="162"/>
  <c r="E26" i="162"/>
  <c r="D26" i="162"/>
  <c r="D36" i="162" s="1"/>
  <c r="D41" i="162" s="1"/>
  <c r="D58" i="162" s="1"/>
  <c r="C26" i="162"/>
  <c r="E20" i="162"/>
  <c r="D20" i="162"/>
  <c r="C20" i="162"/>
  <c r="E8" i="162"/>
  <c r="D8" i="162"/>
  <c r="C8" i="162"/>
  <c r="E51" i="161"/>
  <c r="D51" i="161"/>
  <c r="D57" i="161" s="1"/>
  <c r="C51" i="161"/>
  <c r="E45" i="161"/>
  <c r="E57" i="161" s="1"/>
  <c r="D45" i="161"/>
  <c r="C45" i="161"/>
  <c r="C57" i="161"/>
  <c r="E37" i="161"/>
  <c r="D37" i="161"/>
  <c r="C37" i="161"/>
  <c r="C41" i="161" s="1"/>
  <c r="C58" i="161" s="1"/>
  <c r="E30" i="161"/>
  <c r="D30" i="161"/>
  <c r="C30" i="161"/>
  <c r="E26" i="161"/>
  <c r="D26" i="161"/>
  <c r="C26" i="161"/>
  <c r="E20" i="161"/>
  <c r="D20" i="161"/>
  <c r="D36" i="161"/>
  <c r="D41" i="161" s="1"/>
  <c r="D58" i="161" s="1"/>
  <c r="C20" i="161"/>
  <c r="E8" i="161"/>
  <c r="D8" i="161"/>
  <c r="C8" i="161"/>
  <c r="C36" i="161"/>
  <c r="B2" i="157"/>
  <c r="B2" i="158" s="1"/>
  <c r="B2" i="159" s="1"/>
  <c r="B2" i="160"/>
  <c r="E51" i="160"/>
  <c r="D51" i="160"/>
  <c r="D57" i="160" s="1"/>
  <c r="C51" i="160"/>
  <c r="E45" i="160"/>
  <c r="E57" i="160" s="1"/>
  <c r="D45" i="160"/>
  <c r="C45" i="160"/>
  <c r="C57" i="160" s="1"/>
  <c r="E37" i="160"/>
  <c r="D37" i="160"/>
  <c r="C37" i="160"/>
  <c r="E30" i="160"/>
  <c r="D30" i="160"/>
  <c r="C30" i="160"/>
  <c r="E26" i="160"/>
  <c r="D26" i="160"/>
  <c r="D36" i="160"/>
  <c r="C26" i="160"/>
  <c r="E20" i="160"/>
  <c r="D20" i="160"/>
  <c r="C20" i="160"/>
  <c r="E8" i="160"/>
  <c r="D8" i="160"/>
  <c r="C8" i="160"/>
  <c r="E51" i="159"/>
  <c r="D51" i="159"/>
  <c r="D57" i="159" s="1"/>
  <c r="D58" i="159" s="1"/>
  <c r="C51" i="159"/>
  <c r="E45" i="159"/>
  <c r="D45" i="159"/>
  <c r="C45" i="159"/>
  <c r="C57" i="159"/>
  <c r="E37" i="159"/>
  <c r="D37" i="159"/>
  <c r="C37" i="159"/>
  <c r="E30" i="159"/>
  <c r="D30" i="159"/>
  <c r="C30" i="159"/>
  <c r="E26" i="159"/>
  <c r="E36" i="159" s="1"/>
  <c r="E41" i="159" s="1"/>
  <c r="D26" i="159"/>
  <c r="C26" i="159"/>
  <c r="C36" i="159" s="1"/>
  <c r="C41" i="159" s="1"/>
  <c r="C58" i="159" s="1"/>
  <c r="E20" i="159"/>
  <c r="D20" i="159"/>
  <c r="D36" i="159" s="1"/>
  <c r="D41" i="159" s="1"/>
  <c r="C20" i="159"/>
  <c r="E8" i="159"/>
  <c r="D8" i="159"/>
  <c r="C8" i="159"/>
  <c r="E51" i="158"/>
  <c r="D51" i="158"/>
  <c r="C51" i="158"/>
  <c r="E45" i="158"/>
  <c r="D45" i="158"/>
  <c r="D57" i="158" s="1"/>
  <c r="C45" i="158"/>
  <c r="C57" i="158"/>
  <c r="E37" i="158"/>
  <c r="D37" i="158"/>
  <c r="C37" i="158"/>
  <c r="E30" i="158"/>
  <c r="D30" i="158"/>
  <c r="C30" i="158"/>
  <c r="E26" i="158"/>
  <c r="D26" i="158"/>
  <c r="C26" i="158"/>
  <c r="E20" i="158"/>
  <c r="D20" i="158"/>
  <c r="C20" i="158"/>
  <c r="C36" i="158" s="1"/>
  <c r="E8" i="158"/>
  <c r="E36" i="158" s="1"/>
  <c r="D8" i="158"/>
  <c r="D36" i="158" s="1"/>
  <c r="D41" i="158" s="1"/>
  <c r="D58" i="158" s="1"/>
  <c r="C8" i="158"/>
  <c r="E51" i="157"/>
  <c r="D51" i="157"/>
  <c r="C51" i="157"/>
  <c r="C57" i="157" s="1"/>
  <c r="E45" i="157"/>
  <c r="E57" i="157" s="1"/>
  <c r="D45" i="157"/>
  <c r="D57" i="157" s="1"/>
  <c r="C45" i="157"/>
  <c r="E37" i="157"/>
  <c r="D37" i="157"/>
  <c r="C37" i="157"/>
  <c r="E30" i="157"/>
  <c r="D30" i="157"/>
  <c r="C30" i="157"/>
  <c r="E26" i="157"/>
  <c r="D26" i="157"/>
  <c r="C26" i="157"/>
  <c r="E20" i="157"/>
  <c r="E36" i="157" s="1"/>
  <c r="E41" i="157" s="1"/>
  <c r="D20" i="157"/>
  <c r="C20" i="157"/>
  <c r="E8" i="157"/>
  <c r="D8" i="157"/>
  <c r="D36" i="157" s="1"/>
  <c r="D41" i="157" s="1"/>
  <c r="D58" i="157" s="1"/>
  <c r="C8" i="157"/>
  <c r="B2" i="153"/>
  <c r="B2" i="154" s="1"/>
  <c r="B2" i="155" s="1"/>
  <c r="B2" i="156" s="1"/>
  <c r="E51" i="156"/>
  <c r="D51" i="156"/>
  <c r="C51" i="156"/>
  <c r="E45" i="156"/>
  <c r="E57" i="156"/>
  <c r="D45" i="156"/>
  <c r="C45" i="156"/>
  <c r="E37" i="156"/>
  <c r="D37" i="156"/>
  <c r="C37" i="156"/>
  <c r="E30" i="156"/>
  <c r="D30" i="156"/>
  <c r="C30" i="156"/>
  <c r="E26" i="156"/>
  <c r="D26" i="156"/>
  <c r="C26" i="156"/>
  <c r="E20" i="156"/>
  <c r="D20" i="156"/>
  <c r="D36" i="156" s="1"/>
  <c r="D41" i="156" s="1"/>
  <c r="C20" i="156"/>
  <c r="E8" i="156"/>
  <c r="D8" i="156"/>
  <c r="C8" i="156"/>
  <c r="C36" i="156" s="1"/>
  <c r="C41" i="156" s="1"/>
  <c r="E51" i="155"/>
  <c r="D51" i="155"/>
  <c r="C51" i="155"/>
  <c r="E45" i="155"/>
  <c r="E57" i="155"/>
  <c r="D45" i="155"/>
  <c r="C45" i="155"/>
  <c r="C57" i="155" s="1"/>
  <c r="E37" i="155"/>
  <c r="D37" i="155"/>
  <c r="C37" i="155"/>
  <c r="E30" i="155"/>
  <c r="D30" i="155"/>
  <c r="C30" i="155"/>
  <c r="E26" i="155"/>
  <c r="D26" i="155"/>
  <c r="C26" i="155"/>
  <c r="E20" i="155"/>
  <c r="D20" i="155"/>
  <c r="C20" i="155"/>
  <c r="E8" i="155"/>
  <c r="D8" i="155"/>
  <c r="C8" i="155"/>
  <c r="E51" i="154"/>
  <c r="D51" i="154"/>
  <c r="D57" i="154" s="1"/>
  <c r="C51" i="154"/>
  <c r="E45" i="154"/>
  <c r="D45" i="154"/>
  <c r="C45" i="154"/>
  <c r="E37" i="154"/>
  <c r="D37" i="154"/>
  <c r="C37" i="154"/>
  <c r="E30" i="154"/>
  <c r="D30" i="154"/>
  <c r="C30" i="154"/>
  <c r="E26" i="154"/>
  <c r="D26" i="154"/>
  <c r="C26" i="154"/>
  <c r="E20" i="154"/>
  <c r="D20" i="154"/>
  <c r="C20" i="154"/>
  <c r="E8" i="154"/>
  <c r="E36" i="154" s="1"/>
  <c r="D8" i="154"/>
  <c r="C8" i="154"/>
  <c r="C36" i="154" s="1"/>
  <c r="C41" i="154" s="1"/>
  <c r="E51" i="153"/>
  <c r="E57" i="153" s="1"/>
  <c r="D51" i="153"/>
  <c r="D57" i="153" s="1"/>
  <c r="C51" i="153"/>
  <c r="E45" i="153"/>
  <c r="D45" i="153"/>
  <c r="C45" i="153"/>
  <c r="C57" i="153"/>
  <c r="E37" i="153"/>
  <c r="D37" i="153"/>
  <c r="C37" i="153"/>
  <c r="E30" i="153"/>
  <c r="D30" i="153"/>
  <c r="C30" i="153"/>
  <c r="E26" i="153"/>
  <c r="D26" i="153"/>
  <c r="C26" i="153"/>
  <c r="E20" i="153"/>
  <c r="D20" i="153"/>
  <c r="C20" i="153"/>
  <c r="E8" i="153"/>
  <c r="E36" i="153"/>
  <c r="E41" i="153" s="1"/>
  <c r="D8" i="153"/>
  <c r="C8" i="153"/>
  <c r="B2" i="149"/>
  <c r="B2" i="150" s="1"/>
  <c r="B2" i="151" s="1"/>
  <c r="B2" i="152" s="1"/>
  <c r="E51" i="152"/>
  <c r="D51" i="152"/>
  <c r="D57" i="152" s="1"/>
  <c r="C51" i="152"/>
  <c r="E45" i="152"/>
  <c r="D45" i="152"/>
  <c r="C45" i="152"/>
  <c r="C57" i="152"/>
  <c r="E37" i="152"/>
  <c r="D37" i="152"/>
  <c r="C37" i="152"/>
  <c r="E30" i="152"/>
  <c r="D30" i="152"/>
  <c r="C30" i="152"/>
  <c r="E26" i="152"/>
  <c r="D26" i="152"/>
  <c r="C26" i="152"/>
  <c r="E20" i="152"/>
  <c r="D20" i="152"/>
  <c r="C20" i="152"/>
  <c r="E8" i="152"/>
  <c r="D8" i="152"/>
  <c r="C8" i="152"/>
  <c r="C36" i="152"/>
  <c r="C41" i="152" s="1"/>
  <c r="C58" i="152" s="1"/>
  <c r="E51" i="151"/>
  <c r="E57" i="151" s="1"/>
  <c r="D51" i="151"/>
  <c r="C51" i="151"/>
  <c r="E45" i="151"/>
  <c r="D45" i="151"/>
  <c r="D57" i="151" s="1"/>
  <c r="D58" i="151" s="1"/>
  <c r="C45" i="151"/>
  <c r="C57" i="151" s="1"/>
  <c r="E37" i="151"/>
  <c r="D37" i="151"/>
  <c r="C37" i="151"/>
  <c r="E30" i="151"/>
  <c r="D30" i="151"/>
  <c r="C30" i="151"/>
  <c r="E26" i="151"/>
  <c r="D26" i="151"/>
  <c r="C26" i="151"/>
  <c r="E20" i="151"/>
  <c r="D20" i="151"/>
  <c r="C20" i="151"/>
  <c r="E8" i="151"/>
  <c r="E36" i="151" s="1"/>
  <c r="E41" i="151" s="1"/>
  <c r="D8" i="151"/>
  <c r="D36" i="151"/>
  <c r="D41" i="151" s="1"/>
  <c r="C8" i="151"/>
  <c r="E51" i="150"/>
  <c r="D51" i="150"/>
  <c r="C51" i="150"/>
  <c r="C57" i="150" s="1"/>
  <c r="E45" i="150"/>
  <c r="E57" i="150"/>
  <c r="D45" i="150"/>
  <c r="D57" i="150" s="1"/>
  <c r="C45" i="150"/>
  <c r="E37" i="150"/>
  <c r="D37" i="150"/>
  <c r="C37" i="150"/>
  <c r="E30" i="150"/>
  <c r="D30" i="150"/>
  <c r="C30" i="150"/>
  <c r="E26" i="150"/>
  <c r="D26" i="150"/>
  <c r="C26" i="150"/>
  <c r="E20" i="150"/>
  <c r="E36" i="150" s="1"/>
  <c r="D20" i="150"/>
  <c r="C20" i="150"/>
  <c r="E8" i="150"/>
  <c r="E41" i="150"/>
  <c r="D8" i="150"/>
  <c r="C8" i="150"/>
  <c r="E51" i="149"/>
  <c r="D51" i="149"/>
  <c r="C51" i="149"/>
  <c r="E45" i="149"/>
  <c r="E57" i="149"/>
  <c r="D45" i="149"/>
  <c r="D57" i="149" s="1"/>
  <c r="C45" i="149"/>
  <c r="C57" i="149" s="1"/>
  <c r="E37" i="149"/>
  <c r="D37" i="149"/>
  <c r="C37" i="149"/>
  <c r="E30" i="149"/>
  <c r="D30" i="149"/>
  <c r="C30" i="149"/>
  <c r="E26" i="149"/>
  <c r="D26" i="149"/>
  <c r="C26" i="149"/>
  <c r="E20" i="149"/>
  <c r="D20" i="149"/>
  <c r="C20" i="149"/>
  <c r="E8" i="149"/>
  <c r="D8" i="149"/>
  <c r="C8" i="149"/>
  <c r="C36" i="149" s="1"/>
  <c r="C41" i="149" s="1"/>
  <c r="C58" i="149" s="1"/>
  <c r="B2" i="145"/>
  <c r="B2" i="146"/>
  <c r="B2" i="147"/>
  <c r="B2" i="148" s="1"/>
  <c r="E51" i="148"/>
  <c r="D51" i="148"/>
  <c r="D57" i="148" s="1"/>
  <c r="C51" i="148"/>
  <c r="E45" i="148"/>
  <c r="D45" i="148"/>
  <c r="C45" i="148"/>
  <c r="C57" i="148" s="1"/>
  <c r="E37" i="148"/>
  <c r="D37" i="148"/>
  <c r="C37" i="148"/>
  <c r="E30" i="148"/>
  <c r="D30" i="148"/>
  <c r="C30" i="148"/>
  <c r="E26" i="148"/>
  <c r="D26" i="148"/>
  <c r="D36" i="148"/>
  <c r="D41" i="148" s="1"/>
  <c r="C26" i="148"/>
  <c r="E20" i="148"/>
  <c r="D20" i="148"/>
  <c r="C20" i="148"/>
  <c r="C36" i="148"/>
  <c r="C41" i="148" s="1"/>
  <c r="E8" i="148"/>
  <c r="D8" i="148"/>
  <c r="C8" i="148"/>
  <c r="E51" i="147"/>
  <c r="D51" i="147"/>
  <c r="D57" i="147" s="1"/>
  <c r="C51" i="147"/>
  <c r="C57" i="147" s="1"/>
  <c r="E45" i="147"/>
  <c r="E57" i="147" s="1"/>
  <c r="D45" i="147"/>
  <c r="C45" i="147"/>
  <c r="E37" i="147"/>
  <c r="D37" i="147"/>
  <c r="C37" i="147"/>
  <c r="E30" i="147"/>
  <c r="D30" i="147"/>
  <c r="C30" i="147"/>
  <c r="E26" i="147"/>
  <c r="D26" i="147"/>
  <c r="C26" i="147"/>
  <c r="E20" i="147"/>
  <c r="D20" i="147"/>
  <c r="C20" i="147"/>
  <c r="E8" i="147"/>
  <c r="D8" i="147"/>
  <c r="D36" i="147" s="1"/>
  <c r="C8" i="147"/>
  <c r="E45" i="146"/>
  <c r="E57" i="146" s="1"/>
  <c r="D45" i="146"/>
  <c r="C45" i="146"/>
  <c r="C57" i="146"/>
  <c r="E51" i="145"/>
  <c r="E51" i="146" s="1"/>
  <c r="D51" i="145"/>
  <c r="D51" i="146" s="1"/>
  <c r="C51" i="145"/>
  <c r="C51" i="146" s="1"/>
  <c r="E45" i="145"/>
  <c r="D45" i="145"/>
  <c r="C45" i="145"/>
  <c r="C57" i="145"/>
  <c r="E37" i="145"/>
  <c r="E37" i="146" s="1"/>
  <c r="D37" i="145"/>
  <c r="D37" i="146" s="1"/>
  <c r="C37" i="145"/>
  <c r="C37" i="146" s="1"/>
  <c r="E30" i="145"/>
  <c r="E30" i="146" s="1"/>
  <c r="D30" i="145"/>
  <c r="D30" i="146" s="1"/>
  <c r="C30" i="145"/>
  <c r="C30" i="146" s="1"/>
  <c r="E26" i="145"/>
  <c r="E26" i="146" s="1"/>
  <c r="D26" i="145"/>
  <c r="D26" i="146" s="1"/>
  <c r="C26" i="145"/>
  <c r="C26" i="146" s="1"/>
  <c r="E20" i="145"/>
  <c r="E20" i="146" s="1"/>
  <c r="D20" i="145"/>
  <c r="D20" i="146" s="1"/>
  <c r="C20" i="145"/>
  <c r="C20" i="146" s="1"/>
  <c r="E8" i="145"/>
  <c r="E8" i="146" s="1"/>
  <c r="D8" i="145"/>
  <c r="D8" i="146" s="1"/>
  <c r="C8" i="145"/>
  <c r="C8" i="146" s="1"/>
  <c r="C36" i="145"/>
  <c r="C36" i="146" s="1"/>
  <c r="B2" i="105"/>
  <c r="B2" i="139"/>
  <c r="B2" i="140" s="1"/>
  <c r="B2" i="141" s="1"/>
  <c r="B2" i="138"/>
  <c r="B2" i="137"/>
  <c r="B2" i="136" s="1"/>
  <c r="B2" i="135"/>
  <c r="B2" i="133"/>
  <c r="B2" i="3"/>
  <c r="B2" i="134"/>
  <c r="E7" i="142"/>
  <c r="E7" i="143" s="1"/>
  <c r="E152" i="144"/>
  <c r="D152" i="144"/>
  <c r="C152" i="144"/>
  <c r="E147" i="144"/>
  <c r="D147" i="144"/>
  <c r="C147" i="144"/>
  <c r="E140" i="144"/>
  <c r="D140" i="144"/>
  <c r="C140" i="144"/>
  <c r="E136" i="144"/>
  <c r="D136" i="144"/>
  <c r="C136" i="144"/>
  <c r="C160" i="144"/>
  <c r="E121" i="144"/>
  <c r="D121" i="144"/>
  <c r="C121" i="144"/>
  <c r="E100" i="144"/>
  <c r="E135" i="144" s="1"/>
  <c r="D100" i="144"/>
  <c r="D135" i="144"/>
  <c r="C100" i="144"/>
  <c r="C135" i="144" s="1"/>
  <c r="C161" i="144" s="1"/>
  <c r="E85" i="144"/>
  <c r="D85" i="144"/>
  <c r="C85" i="144"/>
  <c r="E81" i="144"/>
  <c r="E92" i="144"/>
  <c r="D81" i="144"/>
  <c r="D92" i="144" s="1"/>
  <c r="D166" i="144" s="1"/>
  <c r="C81" i="144"/>
  <c r="E78" i="144"/>
  <c r="D78" i="144"/>
  <c r="C78" i="144"/>
  <c r="E73" i="144"/>
  <c r="D73" i="144"/>
  <c r="C73" i="144"/>
  <c r="C92" i="144" s="1"/>
  <c r="C166" i="144" s="1"/>
  <c r="E69" i="144"/>
  <c r="D69" i="144"/>
  <c r="C69" i="144"/>
  <c r="E63" i="144"/>
  <c r="D63" i="144"/>
  <c r="C63" i="144"/>
  <c r="E58" i="144"/>
  <c r="D58" i="144"/>
  <c r="C58" i="144"/>
  <c r="E52" i="144"/>
  <c r="D52" i="144"/>
  <c r="C52" i="144"/>
  <c r="E40" i="144"/>
  <c r="D40" i="144"/>
  <c r="C40" i="144"/>
  <c r="E32" i="144"/>
  <c r="D32" i="144"/>
  <c r="C32" i="144"/>
  <c r="E25" i="144"/>
  <c r="D25" i="144"/>
  <c r="C25" i="144"/>
  <c r="E18" i="144"/>
  <c r="D18" i="144"/>
  <c r="C18" i="144"/>
  <c r="E11" i="144"/>
  <c r="D11" i="144"/>
  <c r="D68" i="144" s="1"/>
  <c r="D165" i="144" s="1"/>
  <c r="C11" i="144"/>
  <c r="A2" i="144"/>
  <c r="E152" i="143"/>
  <c r="D152" i="143"/>
  <c r="C152" i="143"/>
  <c r="E147" i="143"/>
  <c r="D147" i="143"/>
  <c r="D160" i="143"/>
  <c r="C147" i="143"/>
  <c r="C160" i="143"/>
  <c r="E140" i="143"/>
  <c r="D140" i="143"/>
  <c r="C140" i="143"/>
  <c r="E136" i="143"/>
  <c r="D136" i="143"/>
  <c r="C136" i="143"/>
  <c r="E121" i="143"/>
  <c r="D121" i="143"/>
  <c r="C121" i="143"/>
  <c r="E100" i="143"/>
  <c r="E135" i="143" s="1"/>
  <c r="E161" i="143" s="1"/>
  <c r="D100" i="143"/>
  <c r="D135" i="143" s="1"/>
  <c r="D161" i="143" s="1"/>
  <c r="C100" i="143"/>
  <c r="C135" i="143"/>
  <c r="C161" i="143"/>
  <c r="E85" i="143"/>
  <c r="D85" i="143"/>
  <c r="C85" i="143"/>
  <c r="E81" i="143"/>
  <c r="D81" i="143"/>
  <c r="C81" i="143"/>
  <c r="E78" i="143"/>
  <c r="D78" i="143"/>
  <c r="C78" i="143"/>
  <c r="E73" i="143"/>
  <c r="D73" i="143"/>
  <c r="C73" i="143"/>
  <c r="E69" i="143"/>
  <c r="E92" i="143" s="1"/>
  <c r="E93" i="143" s="1"/>
  <c r="D69" i="143"/>
  <c r="D92" i="143" s="1"/>
  <c r="C69" i="143"/>
  <c r="C92" i="143" s="1"/>
  <c r="C166" i="143" s="1"/>
  <c r="E63" i="143"/>
  <c r="D63" i="143"/>
  <c r="C63" i="143"/>
  <c r="E58" i="143"/>
  <c r="D58" i="143"/>
  <c r="C58" i="143"/>
  <c r="E52" i="143"/>
  <c r="D52" i="143"/>
  <c r="C52" i="143"/>
  <c r="E40" i="143"/>
  <c r="D40" i="143"/>
  <c r="C40" i="143"/>
  <c r="E32" i="143"/>
  <c r="D32" i="143"/>
  <c r="C32" i="143"/>
  <c r="E25" i="143"/>
  <c r="D25" i="143"/>
  <c r="C25" i="143"/>
  <c r="E18" i="143"/>
  <c r="D18" i="143"/>
  <c r="C18" i="143"/>
  <c r="E11" i="143"/>
  <c r="D11" i="143"/>
  <c r="C11" i="143"/>
  <c r="A2" i="143"/>
  <c r="A2" i="142"/>
  <c r="A2" i="1"/>
  <c r="C24" i="61"/>
  <c r="E96" i="1"/>
  <c r="E164" i="1" s="1"/>
  <c r="E29" i="135"/>
  <c r="D29" i="135"/>
  <c r="C29" i="135"/>
  <c r="E29" i="134"/>
  <c r="D29" i="134"/>
  <c r="C29" i="134"/>
  <c r="E29" i="3"/>
  <c r="E29" i="133" s="1"/>
  <c r="D29" i="3"/>
  <c r="D29" i="133" s="1"/>
  <c r="C29" i="3"/>
  <c r="C29" i="133" s="1"/>
  <c r="E51" i="141"/>
  <c r="D51" i="141"/>
  <c r="C51" i="141"/>
  <c r="C57" i="141" s="1"/>
  <c r="E45" i="141"/>
  <c r="E57" i="141"/>
  <c r="D45" i="141"/>
  <c r="D57" i="141" s="1"/>
  <c r="C45" i="141"/>
  <c r="E37" i="141"/>
  <c r="D37" i="141"/>
  <c r="C37" i="141"/>
  <c r="E30" i="141"/>
  <c r="D30" i="141"/>
  <c r="C30" i="141"/>
  <c r="E26" i="141"/>
  <c r="D26" i="141"/>
  <c r="C26" i="141"/>
  <c r="E20" i="141"/>
  <c r="D20" i="141"/>
  <c r="C20" i="141"/>
  <c r="E8" i="141"/>
  <c r="E36" i="141" s="1"/>
  <c r="E41" i="141" s="1"/>
  <c r="D8" i="141"/>
  <c r="C8" i="141"/>
  <c r="E51" i="140"/>
  <c r="D51" i="140"/>
  <c r="C51" i="140"/>
  <c r="E45" i="140"/>
  <c r="E57" i="140" s="1"/>
  <c r="D45" i="140"/>
  <c r="D57" i="140" s="1"/>
  <c r="C45" i="140"/>
  <c r="C57" i="140" s="1"/>
  <c r="E37" i="140"/>
  <c r="D37" i="140"/>
  <c r="C37" i="140"/>
  <c r="E30" i="140"/>
  <c r="D30" i="140"/>
  <c r="C30" i="140"/>
  <c r="C36" i="140"/>
  <c r="C41" i="140" s="1"/>
  <c r="C58" i="140" s="1"/>
  <c r="E26" i="140"/>
  <c r="D26" i="140"/>
  <c r="C26" i="140"/>
  <c r="E20" i="140"/>
  <c r="D20" i="140"/>
  <c r="C20" i="140"/>
  <c r="E8" i="140"/>
  <c r="D8" i="140"/>
  <c r="D36" i="140" s="1"/>
  <c r="D41" i="140" s="1"/>
  <c r="D58" i="140" s="1"/>
  <c r="C8" i="140"/>
  <c r="D45" i="105"/>
  <c r="D45" i="139" s="1"/>
  <c r="E45" i="105"/>
  <c r="E45" i="139" s="1"/>
  <c r="D51" i="105"/>
  <c r="D51" i="139" s="1"/>
  <c r="E51" i="105"/>
  <c r="E51" i="139" s="1"/>
  <c r="D8" i="105"/>
  <c r="D8" i="139" s="1"/>
  <c r="E8" i="105"/>
  <c r="E8" i="139" s="1"/>
  <c r="D20" i="105"/>
  <c r="D20" i="139" s="1"/>
  <c r="E20" i="105"/>
  <c r="E20" i="139" s="1"/>
  <c r="D26" i="105"/>
  <c r="D26" i="139" s="1"/>
  <c r="E26" i="105"/>
  <c r="E26" i="139" s="1"/>
  <c r="D30" i="105"/>
  <c r="D30" i="139" s="1"/>
  <c r="E30" i="105"/>
  <c r="E30" i="139" s="1"/>
  <c r="D37" i="105"/>
  <c r="D37" i="139" s="1"/>
  <c r="E37" i="105"/>
  <c r="E37" i="139" s="1"/>
  <c r="E52" i="137"/>
  <c r="D52" i="137"/>
  <c r="C52" i="137"/>
  <c r="E46" i="137"/>
  <c r="E58" i="137" s="1"/>
  <c r="D46" i="137"/>
  <c r="D58" i="137" s="1"/>
  <c r="C46" i="137"/>
  <c r="C58" i="137" s="1"/>
  <c r="E38" i="137"/>
  <c r="D38" i="137"/>
  <c r="C38" i="137"/>
  <c r="E31" i="137"/>
  <c r="D31" i="137"/>
  <c r="C31" i="137"/>
  <c r="E26" i="137"/>
  <c r="D26" i="137"/>
  <c r="C26" i="137"/>
  <c r="E20" i="137"/>
  <c r="D20" i="137"/>
  <c r="C20" i="137"/>
  <c r="E8" i="137"/>
  <c r="D8" i="137"/>
  <c r="D37" i="137" s="1"/>
  <c r="D42" i="137" s="1"/>
  <c r="D59" i="137" s="1"/>
  <c r="C8" i="137"/>
  <c r="C37" i="137"/>
  <c r="C42" i="137" s="1"/>
  <c r="C59" i="137" s="1"/>
  <c r="E52" i="136"/>
  <c r="D52" i="136"/>
  <c r="C52" i="136"/>
  <c r="E46" i="136"/>
  <c r="E58" i="136" s="1"/>
  <c r="D46" i="136"/>
  <c r="D58" i="136" s="1"/>
  <c r="C46" i="136"/>
  <c r="C58" i="136" s="1"/>
  <c r="E38" i="136"/>
  <c r="D38" i="136"/>
  <c r="C38" i="136"/>
  <c r="E31" i="136"/>
  <c r="D31" i="136"/>
  <c r="C31" i="136"/>
  <c r="E26" i="136"/>
  <c r="D26" i="136"/>
  <c r="C26" i="136"/>
  <c r="E20" i="136"/>
  <c r="D20" i="136"/>
  <c r="C20" i="136"/>
  <c r="E8" i="136"/>
  <c r="D8" i="136"/>
  <c r="D37" i="136" s="1"/>
  <c r="D42" i="136" s="1"/>
  <c r="D59" i="136" s="1"/>
  <c r="C8" i="136"/>
  <c r="C37" i="136"/>
  <c r="D46" i="79"/>
  <c r="D46" i="138" s="1"/>
  <c r="E46" i="79"/>
  <c r="E46" i="138" s="1"/>
  <c r="D52" i="79"/>
  <c r="D52" i="138" s="1"/>
  <c r="E52" i="79"/>
  <c r="E52" i="138" s="1"/>
  <c r="D8" i="79"/>
  <c r="D8" i="138" s="1"/>
  <c r="E8" i="79"/>
  <c r="E8" i="138" s="1"/>
  <c r="D20" i="79"/>
  <c r="D20" i="138" s="1"/>
  <c r="E20" i="79"/>
  <c r="E20" i="138" s="1"/>
  <c r="D26" i="79"/>
  <c r="D26" i="138" s="1"/>
  <c r="E26" i="79"/>
  <c r="E26" i="138" s="1"/>
  <c r="D31" i="79"/>
  <c r="D31" i="138" s="1"/>
  <c r="E31" i="79"/>
  <c r="E31" i="138" s="1"/>
  <c r="E38" i="79"/>
  <c r="E38" i="138" s="1"/>
  <c r="E146" i="135"/>
  <c r="D146" i="135"/>
  <c r="C146" i="135"/>
  <c r="E140" i="135"/>
  <c r="D140" i="135"/>
  <c r="C140" i="135"/>
  <c r="E133" i="135"/>
  <c r="D133" i="135"/>
  <c r="C133" i="135"/>
  <c r="E129" i="135"/>
  <c r="E154" i="135" s="1"/>
  <c r="D129" i="135"/>
  <c r="D154" i="135" s="1"/>
  <c r="C129" i="135"/>
  <c r="E114" i="135"/>
  <c r="D114" i="135"/>
  <c r="C114" i="135"/>
  <c r="E93" i="135"/>
  <c r="E128" i="135"/>
  <c r="E155" i="135" s="1"/>
  <c r="D93" i="135"/>
  <c r="D128" i="135" s="1"/>
  <c r="C93" i="135"/>
  <c r="C128" i="135" s="1"/>
  <c r="E82" i="135"/>
  <c r="D82" i="135"/>
  <c r="C82" i="135"/>
  <c r="E78" i="135"/>
  <c r="D78" i="135"/>
  <c r="C78" i="135"/>
  <c r="E75" i="135"/>
  <c r="D75" i="135"/>
  <c r="C75" i="135"/>
  <c r="E70" i="135"/>
  <c r="D70" i="135"/>
  <c r="D89" i="135" s="1"/>
  <c r="C70" i="135"/>
  <c r="E66" i="135"/>
  <c r="E89" i="135" s="1"/>
  <c r="D66" i="135"/>
  <c r="C66" i="135"/>
  <c r="E60" i="135"/>
  <c r="D60" i="135"/>
  <c r="C60" i="135"/>
  <c r="E55" i="135"/>
  <c r="D55" i="135"/>
  <c r="C55" i="135"/>
  <c r="E49" i="135"/>
  <c r="D49" i="135"/>
  <c r="C49" i="135"/>
  <c r="E37" i="135"/>
  <c r="D37" i="135"/>
  <c r="C37" i="135"/>
  <c r="E22" i="135"/>
  <c r="D22" i="135"/>
  <c r="C22" i="135"/>
  <c r="E15" i="135"/>
  <c r="D15" i="135"/>
  <c r="C15" i="135"/>
  <c r="E8" i="135"/>
  <c r="E65" i="135" s="1"/>
  <c r="E90" i="135" s="1"/>
  <c r="D8" i="135"/>
  <c r="C8" i="135"/>
  <c r="E146" i="134"/>
  <c r="D146" i="134"/>
  <c r="C146" i="134"/>
  <c r="E140" i="134"/>
  <c r="D140" i="134"/>
  <c r="C140" i="134"/>
  <c r="E133" i="134"/>
  <c r="D133" i="134"/>
  <c r="D154" i="134" s="1"/>
  <c r="C133" i="134"/>
  <c r="E129" i="134"/>
  <c r="D129" i="134"/>
  <c r="C129" i="134"/>
  <c r="C154" i="134" s="1"/>
  <c r="E114" i="134"/>
  <c r="D114" i="134"/>
  <c r="C114" i="134"/>
  <c r="E93" i="134"/>
  <c r="E128" i="134"/>
  <c r="D93" i="134"/>
  <c r="D128" i="134" s="1"/>
  <c r="C93" i="134"/>
  <c r="C128" i="134" s="1"/>
  <c r="E82" i="134"/>
  <c r="D82" i="134"/>
  <c r="C82" i="134"/>
  <c r="E78" i="134"/>
  <c r="D78" i="134"/>
  <c r="C78" i="134"/>
  <c r="E75" i="134"/>
  <c r="D75" i="134"/>
  <c r="C75" i="134"/>
  <c r="E70" i="134"/>
  <c r="D70" i="134"/>
  <c r="D89" i="134" s="1"/>
  <c r="C70" i="134"/>
  <c r="C89" i="134"/>
  <c r="E66" i="134"/>
  <c r="E89" i="134" s="1"/>
  <c r="E90" i="134" s="1"/>
  <c r="D66" i="134"/>
  <c r="C66" i="134"/>
  <c r="E60" i="134"/>
  <c r="D60" i="134"/>
  <c r="C60" i="134"/>
  <c r="E55" i="134"/>
  <c r="D55" i="134"/>
  <c r="C55" i="134"/>
  <c r="E49" i="134"/>
  <c r="D49" i="134"/>
  <c r="C49" i="134"/>
  <c r="E37" i="134"/>
  <c r="D37" i="134"/>
  <c r="C37" i="134"/>
  <c r="E22" i="134"/>
  <c r="D22" i="134"/>
  <c r="C22" i="134"/>
  <c r="E15" i="134"/>
  <c r="D15" i="134"/>
  <c r="C15" i="134"/>
  <c r="C65" i="134"/>
  <c r="C90" i="134" s="1"/>
  <c r="E8" i="134"/>
  <c r="D8" i="134"/>
  <c r="C8" i="134"/>
  <c r="D93" i="3"/>
  <c r="D93" i="133" s="1"/>
  <c r="E93" i="3"/>
  <c r="E93" i="133" s="1"/>
  <c r="D114" i="3"/>
  <c r="D114" i="133" s="1"/>
  <c r="E114" i="3"/>
  <c r="E114" i="133" s="1"/>
  <c r="D129" i="3"/>
  <c r="D129" i="133" s="1"/>
  <c r="E129" i="3"/>
  <c r="E129" i="133" s="1"/>
  <c r="D133" i="3"/>
  <c r="D133" i="133" s="1"/>
  <c r="E133" i="3"/>
  <c r="E133" i="133" s="1"/>
  <c r="D140" i="3"/>
  <c r="D140" i="133" s="1"/>
  <c r="E140" i="3"/>
  <c r="E140" i="133" s="1"/>
  <c r="D146" i="3"/>
  <c r="D146" i="133" s="1"/>
  <c r="E146" i="3"/>
  <c r="E146" i="133" s="1"/>
  <c r="D8" i="3"/>
  <c r="D8" i="133" s="1"/>
  <c r="E8" i="3"/>
  <c r="E8" i="133" s="1"/>
  <c r="D15" i="3"/>
  <c r="D15" i="133" s="1"/>
  <c r="E15" i="3"/>
  <c r="E15" i="133" s="1"/>
  <c r="D22" i="3"/>
  <c r="D22" i="133" s="1"/>
  <c r="E22" i="3"/>
  <c r="E22" i="133" s="1"/>
  <c r="D37" i="3"/>
  <c r="D37" i="133" s="1"/>
  <c r="E37" i="3"/>
  <c r="E37" i="133" s="1"/>
  <c r="D49" i="3"/>
  <c r="D49" i="133" s="1"/>
  <c r="E49" i="3"/>
  <c r="E49" i="133" s="1"/>
  <c r="D55" i="3"/>
  <c r="D55" i="133" s="1"/>
  <c r="E55" i="3"/>
  <c r="E55" i="133" s="1"/>
  <c r="D60" i="3"/>
  <c r="D60" i="133" s="1"/>
  <c r="E60" i="3"/>
  <c r="E60" i="133" s="1"/>
  <c r="D66" i="3"/>
  <c r="D66" i="133" s="1"/>
  <c r="E66" i="3"/>
  <c r="E66" i="133" s="1"/>
  <c r="D70" i="3"/>
  <c r="D70" i="133" s="1"/>
  <c r="E70" i="3"/>
  <c r="E70" i="133" s="1"/>
  <c r="D75" i="3"/>
  <c r="D75" i="133" s="1"/>
  <c r="E75" i="3"/>
  <c r="E75" i="133" s="1"/>
  <c r="D78" i="3"/>
  <c r="D78" i="133" s="1"/>
  <c r="E78" i="3"/>
  <c r="E78" i="133" s="1"/>
  <c r="D82" i="3"/>
  <c r="D82" i="133" s="1"/>
  <c r="E82" i="3"/>
  <c r="E82" i="133" s="1"/>
  <c r="H17" i="61"/>
  <c r="I17" i="61"/>
  <c r="H30" i="61"/>
  <c r="I30" i="61"/>
  <c r="D17" i="61"/>
  <c r="D12" i="76" s="1"/>
  <c r="E17" i="61"/>
  <c r="D18" i="61"/>
  <c r="D30" i="61" s="1"/>
  <c r="D13" i="76" s="1"/>
  <c r="E18" i="61"/>
  <c r="E30" i="61" s="1"/>
  <c r="D24" i="61"/>
  <c r="E24" i="61"/>
  <c r="H18" i="73"/>
  <c r="I18" i="73"/>
  <c r="I30" i="73" s="1"/>
  <c r="H29" i="73"/>
  <c r="D31" i="76" s="1"/>
  <c r="I29" i="73"/>
  <c r="D37" i="76" s="1"/>
  <c r="E19" i="73"/>
  <c r="D100" i="1"/>
  <c r="D100" i="142" s="1"/>
  <c r="E100" i="1"/>
  <c r="E100" i="142" s="1"/>
  <c r="D121" i="1"/>
  <c r="D121" i="142" s="1"/>
  <c r="E121" i="1"/>
  <c r="E121" i="142" s="1"/>
  <c r="D136" i="1"/>
  <c r="D136" i="142" s="1"/>
  <c r="E136" i="1"/>
  <c r="E136" i="142" s="1"/>
  <c r="D140" i="1"/>
  <c r="D140" i="142" s="1"/>
  <c r="E140" i="1"/>
  <c r="E140" i="142" s="1"/>
  <c r="D147" i="1"/>
  <c r="E147" i="1"/>
  <c r="D152" i="1"/>
  <c r="E152" i="1"/>
  <c r="D11" i="1"/>
  <c r="D11" i="142" s="1"/>
  <c r="E11" i="1"/>
  <c r="E11" i="142" s="1"/>
  <c r="D18" i="1"/>
  <c r="D18" i="142" s="1"/>
  <c r="E18" i="1"/>
  <c r="E18" i="142" s="1"/>
  <c r="D25" i="1"/>
  <c r="D25" i="142" s="1"/>
  <c r="E25" i="1"/>
  <c r="E25" i="142" s="1"/>
  <c r="D32" i="1"/>
  <c r="D32" i="142" s="1"/>
  <c r="E32" i="1"/>
  <c r="E32" i="142" s="1"/>
  <c r="D40" i="1"/>
  <c r="D40" i="142" s="1"/>
  <c r="E40" i="1"/>
  <c r="E40" i="142" s="1"/>
  <c r="D52" i="1"/>
  <c r="D52" i="142" s="1"/>
  <c r="E52" i="1"/>
  <c r="E52" i="142" s="1"/>
  <c r="D58" i="1"/>
  <c r="D58" i="142" s="1"/>
  <c r="E58" i="1"/>
  <c r="E58" i="142" s="1"/>
  <c r="D63" i="1"/>
  <c r="D63" i="142" s="1"/>
  <c r="E63" i="1"/>
  <c r="E63" i="142" s="1"/>
  <c r="D69" i="1"/>
  <c r="D69" i="142" s="1"/>
  <c r="E69" i="1"/>
  <c r="E69" i="142" s="1"/>
  <c r="D73" i="1"/>
  <c r="D73" i="142" s="1"/>
  <c r="E73" i="1"/>
  <c r="E73" i="142" s="1"/>
  <c r="D78" i="1"/>
  <c r="D78" i="142" s="1"/>
  <c r="E78" i="1"/>
  <c r="E78" i="142" s="1"/>
  <c r="D81" i="1"/>
  <c r="D81" i="142" s="1"/>
  <c r="E81" i="1"/>
  <c r="E81" i="142" s="1"/>
  <c r="D85" i="1"/>
  <c r="D85" i="142" s="1"/>
  <c r="E85" i="1"/>
  <c r="E85" i="142" s="1"/>
  <c r="C140" i="3"/>
  <c r="C140" i="133" s="1"/>
  <c r="C51" i="105"/>
  <c r="C51" i="139" s="1"/>
  <c r="C57" i="105"/>
  <c r="C57" i="139" s="1"/>
  <c r="C45" i="105"/>
  <c r="C45" i="139" s="1"/>
  <c r="C26" i="79"/>
  <c r="C26" i="138" s="1"/>
  <c r="C146" i="3"/>
  <c r="C146" i="133" s="1"/>
  <c r="C133" i="3"/>
  <c r="C133" i="133" s="1"/>
  <c r="C93" i="3"/>
  <c r="C93" i="133" s="1"/>
  <c r="G29" i="73"/>
  <c r="C152" i="1"/>
  <c r="C152" i="142" s="1"/>
  <c r="C140" i="1"/>
  <c r="C140" i="142" s="1"/>
  <c r="C100" i="1"/>
  <c r="C100" i="142" s="1"/>
  <c r="C32" i="1"/>
  <c r="C32" i="142" s="1"/>
  <c r="C37" i="105"/>
  <c r="C37" i="139" s="1"/>
  <c r="C30" i="105"/>
  <c r="C30" i="139" s="1"/>
  <c r="C26" i="105"/>
  <c r="C26" i="139" s="1"/>
  <c r="C20" i="105"/>
  <c r="C20" i="139" s="1"/>
  <c r="C8" i="105"/>
  <c r="C8" i="139" s="1"/>
  <c r="C52" i="79"/>
  <c r="C52" i="138" s="1"/>
  <c r="C38" i="79"/>
  <c r="C38" i="138" s="1"/>
  <c r="C31" i="79"/>
  <c r="C31" i="138" s="1"/>
  <c r="C20" i="79"/>
  <c r="C20" i="138" s="1"/>
  <c r="C129" i="3"/>
  <c r="C129" i="133" s="1"/>
  <c r="C114" i="3"/>
  <c r="C114" i="133" s="1"/>
  <c r="C82" i="3"/>
  <c r="C82" i="133" s="1"/>
  <c r="C78" i="3"/>
  <c r="C78" i="133" s="1"/>
  <c r="C75" i="3"/>
  <c r="C75" i="133" s="1"/>
  <c r="C70" i="3"/>
  <c r="C70" i="133" s="1"/>
  <c r="C66" i="3"/>
  <c r="C66" i="133" s="1"/>
  <c r="C60" i="3"/>
  <c r="C60" i="133" s="1"/>
  <c r="C55" i="3"/>
  <c r="C55" i="133" s="1"/>
  <c r="C49" i="3"/>
  <c r="C49" i="133" s="1"/>
  <c r="C37" i="3"/>
  <c r="C37" i="133" s="1"/>
  <c r="C22" i="3"/>
  <c r="C22" i="133" s="1"/>
  <c r="C15" i="3"/>
  <c r="C15" i="133" s="1"/>
  <c r="C8" i="3"/>
  <c r="C8" i="133" s="1"/>
  <c r="G17" i="61"/>
  <c r="C17" i="61"/>
  <c r="D6" i="76" s="1"/>
  <c r="C147" i="1"/>
  <c r="C147" i="142" s="1"/>
  <c r="C160" i="1"/>
  <c r="C160" i="142" s="1"/>
  <c r="C136" i="1"/>
  <c r="C136" i="142" s="1"/>
  <c r="C121" i="1"/>
  <c r="C121" i="142" s="1"/>
  <c r="C85" i="1"/>
  <c r="C85" i="142" s="1"/>
  <c r="C81" i="1"/>
  <c r="C81" i="142" s="1"/>
  <c r="C78" i="1"/>
  <c r="C78" i="142" s="1"/>
  <c r="C73" i="1"/>
  <c r="C73" i="142" s="1"/>
  <c r="C69" i="1"/>
  <c r="C69" i="142" s="1"/>
  <c r="C63" i="1"/>
  <c r="C63" i="142" s="1"/>
  <c r="C58" i="1"/>
  <c r="C58" i="142" s="1"/>
  <c r="C52" i="1"/>
  <c r="C52" i="142" s="1"/>
  <c r="C40" i="1"/>
  <c r="C40" i="142" s="1"/>
  <c r="C25" i="1"/>
  <c r="C25" i="142" s="1"/>
  <c r="C18" i="1"/>
  <c r="C18" i="142" s="1"/>
  <c r="C11" i="1"/>
  <c r="C11" i="142" s="1"/>
  <c r="G30" i="61"/>
  <c r="D25" i="76" s="1"/>
  <c r="C18" i="61"/>
  <c r="C30" i="61" s="1"/>
  <c r="C31" i="61" s="1"/>
  <c r="G18" i="73"/>
  <c r="D24" i="76" s="1"/>
  <c r="C19" i="73"/>
  <c r="C29" i="73" s="1"/>
  <c r="C30" i="73" s="1"/>
  <c r="C46" i="79"/>
  <c r="C46" i="138" s="1"/>
  <c r="C8" i="79"/>
  <c r="C8" i="138" s="1"/>
  <c r="B24" i="64"/>
  <c r="D24" i="64"/>
  <c r="F24" i="64"/>
  <c r="B23" i="63"/>
  <c r="D23" i="63"/>
  <c r="F23" i="63"/>
  <c r="I16" i="200"/>
  <c r="E96" i="142"/>
  <c r="E164" i="142"/>
  <c r="D57" i="184"/>
  <c r="D58" i="184" s="1"/>
  <c r="E57" i="177"/>
  <c r="E57" i="163"/>
  <c r="C36" i="164"/>
  <c r="C41" i="164"/>
  <c r="C58" i="164" s="1"/>
  <c r="C41" i="158"/>
  <c r="C58" i="158" s="1"/>
  <c r="E36" i="161"/>
  <c r="E41" i="161" s="1"/>
  <c r="D57" i="174"/>
  <c r="J16" i="198"/>
  <c r="C57" i="177"/>
  <c r="C36" i="175"/>
  <c r="C41" i="175"/>
  <c r="C58" i="175" s="1"/>
  <c r="I9" i="200"/>
  <c r="H31" i="73"/>
  <c r="C57" i="180"/>
  <c r="D57" i="175"/>
  <c r="D58" i="175" s="1"/>
  <c r="E41" i="182"/>
  <c r="E57" i="182"/>
  <c r="E36" i="172"/>
  <c r="E41" i="172"/>
  <c r="K15" i="94"/>
  <c r="F3" i="207"/>
  <c r="F1" i="210"/>
  <c r="D36" i="153"/>
  <c r="D41" i="153" s="1"/>
  <c r="D58" i="153" s="1"/>
  <c r="E11" i="203"/>
  <c r="E54" i="203" s="1"/>
  <c r="E71" i="203" s="1"/>
  <c r="C36" i="173"/>
  <c r="C41" i="173"/>
  <c r="C58" i="173" s="1"/>
  <c r="D41" i="160"/>
  <c r="D36" i="169"/>
  <c r="D41" i="169" s="1"/>
  <c r="D58" i="169" s="1"/>
  <c r="D36" i="178"/>
  <c r="D41" i="178"/>
  <c r="D58" i="178" s="1"/>
  <c r="I10" i="200"/>
  <c r="B1" i="139"/>
  <c r="D58" i="164"/>
  <c r="D58" i="170"/>
  <c r="I4" i="198"/>
  <c r="B13" i="208"/>
  <c r="A4" i="202"/>
  <c r="B41" i="209" s="1"/>
  <c r="A3" i="1"/>
  <c r="B9" i="209" s="1"/>
  <c r="C3" i="210"/>
  <c r="H4" i="198"/>
  <c r="F4" i="198"/>
  <c r="G5" i="199" s="1"/>
  <c r="B7" i="208"/>
  <c r="D6" i="197"/>
  <c r="D93" i="197" s="1"/>
  <c r="A3" i="197"/>
  <c r="B1" i="210"/>
  <c r="B35" i="209" s="1"/>
  <c r="A1" i="200"/>
  <c r="B39" i="209" s="1"/>
  <c r="E3" i="198"/>
  <c r="A3" i="207"/>
  <c r="B45" i="209" s="1"/>
  <c r="A6" i="75"/>
  <c r="C97" i="143" s="1"/>
  <c r="C97" i="1"/>
  <c r="G4" i="198"/>
  <c r="H5" i="199"/>
  <c r="I4" i="199" s="1"/>
  <c r="A4" i="203"/>
  <c r="A5" i="204" s="1"/>
  <c r="C6" i="197"/>
  <c r="C93" i="197" s="1"/>
  <c r="B1" i="140"/>
  <c r="C36" i="153"/>
  <c r="C41" i="153" s="1"/>
  <c r="C58" i="153" s="1"/>
  <c r="D36" i="154"/>
  <c r="D41" i="154" s="1"/>
  <c r="D58" i="154" s="1"/>
  <c r="E36" i="162"/>
  <c r="E41" i="162" s="1"/>
  <c r="E41" i="184"/>
  <c r="C19" i="200"/>
  <c r="E3" i="63"/>
  <c r="C97" i="144"/>
  <c r="A3" i="142"/>
  <c r="B10" i="209"/>
  <c r="A3" i="144"/>
  <c r="B12" i="209"/>
  <c r="F4" i="199"/>
  <c r="E154" i="134"/>
  <c r="E155" i="134" s="1"/>
  <c r="E36" i="148"/>
  <c r="C36" i="155"/>
  <c r="C41" i="155" s="1"/>
  <c r="C58" i="155" s="1"/>
  <c r="C36" i="160"/>
  <c r="C41" i="160"/>
  <c r="C58" i="160" s="1"/>
  <c r="D41" i="171"/>
  <c r="D58" i="171" s="1"/>
  <c r="D36" i="155"/>
  <c r="D41" i="155"/>
  <c r="I17" i="200"/>
  <c r="I18" i="200" s="1"/>
  <c r="C57" i="154"/>
  <c r="E57" i="176"/>
  <c r="C36" i="182"/>
  <c r="C41" i="182"/>
  <c r="C58" i="182" s="1"/>
  <c r="C57" i="183"/>
  <c r="E36" i="179"/>
  <c r="E41" i="179" s="1"/>
  <c r="D19" i="198"/>
  <c r="E36" i="160"/>
  <c r="E41" i="160" s="1"/>
  <c r="D89" i="197"/>
  <c r="B36" i="209"/>
  <c r="D165" i="142"/>
  <c r="D31" i="73"/>
  <c r="A19" i="75"/>
  <c r="A16" i="76"/>
  <c r="E36" i="140"/>
  <c r="E41" i="140" s="1"/>
  <c r="C36" i="141"/>
  <c r="C41" i="141" s="1"/>
  <c r="C58" i="141" s="1"/>
  <c r="D41" i="147"/>
  <c r="D58" i="147" s="1"/>
  <c r="D58" i="179"/>
  <c r="E57" i="179"/>
  <c r="H19" i="198"/>
  <c r="J6" i="198"/>
  <c r="D68" i="143"/>
  <c r="D165" i="143" s="1"/>
  <c r="K17" i="94"/>
  <c r="M17" i="94" s="1"/>
  <c r="M15" i="94"/>
  <c r="B1" i="146" s="1"/>
  <c r="D37" i="79"/>
  <c r="D36" i="145"/>
  <c r="D36" i="146" s="1"/>
  <c r="D36" i="150"/>
  <c r="D41" i="150" s="1"/>
  <c r="D58" i="150" s="1"/>
  <c r="E41" i="158"/>
  <c r="C36" i="163"/>
  <c r="C41" i="163"/>
  <c r="C58" i="163" s="1"/>
  <c r="E36" i="171"/>
  <c r="E41" i="171" s="1"/>
  <c r="D36" i="141"/>
  <c r="D41" i="141" s="1"/>
  <c r="D58" i="141" s="1"/>
  <c r="E36" i="149"/>
  <c r="E41" i="149"/>
  <c r="C41" i="183"/>
  <c r="C58" i="183" s="1"/>
  <c r="C154" i="197"/>
  <c r="G19" i="198"/>
  <c r="A2" i="208"/>
  <c r="A1" i="211"/>
  <c r="A1" i="205"/>
  <c r="A1" i="201"/>
  <c r="A1" i="197"/>
  <c r="B1" i="79"/>
  <c r="B1" i="3"/>
  <c r="J1" i="73"/>
  <c r="B1" i="1"/>
  <c r="A1" i="204"/>
  <c r="J1" i="200"/>
  <c r="B1" i="136"/>
  <c r="B1" i="135"/>
  <c r="B1" i="144"/>
  <c r="C36" i="151"/>
  <c r="C41" i="151"/>
  <c r="C58" i="151" s="1"/>
  <c r="D36" i="152"/>
  <c r="D41" i="152" s="1"/>
  <c r="D58" i="152" s="1"/>
  <c r="C41" i="169"/>
  <c r="C58" i="169" s="1"/>
  <c r="E36" i="175"/>
  <c r="E41" i="175"/>
  <c r="J1" i="61"/>
  <c r="B1" i="138"/>
  <c r="A1" i="202"/>
  <c r="B1" i="145"/>
  <c r="K19" i="94"/>
  <c r="A31" i="75"/>
  <c r="A28" i="76"/>
  <c r="D93" i="144"/>
  <c r="D162" i="144" s="1"/>
  <c r="D3" i="63"/>
  <c r="D3" i="64"/>
  <c r="A13" i="75"/>
  <c r="A10" i="76" s="1"/>
  <c r="G31" i="73"/>
  <c r="C92" i="1"/>
  <c r="C37" i="79"/>
  <c r="C36" i="105"/>
  <c r="C36" i="139" s="1"/>
  <c r="E89" i="3"/>
  <c r="E89" i="133" s="1"/>
  <c r="E65" i="134"/>
  <c r="C65" i="135"/>
  <c r="E36" i="145"/>
  <c r="E36" i="146" s="1"/>
  <c r="C36" i="147"/>
  <c r="C41" i="147"/>
  <c r="C58" i="147" s="1"/>
  <c r="C58" i="154"/>
  <c r="I11" i="200"/>
  <c r="H14" i="200"/>
  <c r="H19" i="200" s="1"/>
  <c r="B1" i="141"/>
  <c r="B1" i="105"/>
  <c r="E37" i="137"/>
  <c r="E42" i="137"/>
  <c r="E161" i="144"/>
  <c r="A25" i="75"/>
  <c r="A22" i="76" s="1"/>
  <c r="C8" i="144"/>
  <c r="E3" i="64"/>
  <c r="E5" i="140"/>
  <c r="E5" i="141"/>
  <c r="E5" i="145" s="1"/>
  <c r="E5" i="146"/>
  <c r="E5" i="147" s="1"/>
  <c r="E5" i="148" s="1"/>
  <c r="E5" i="149" s="1"/>
  <c r="E5" i="150" s="1"/>
  <c r="E5" i="151" s="1"/>
  <c r="E5" i="152" s="1"/>
  <c r="E5" i="153" s="1"/>
  <c r="E5" i="154" s="1"/>
  <c r="E5" i="155" s="1"/>
  <c r="E5" i="156" s="1"/>
  <c r="E5" i="157" s="1"/>
  <c r="E5" i="158" s="1"/>
  <c r="E5" i="159" s="1"/>
  <c r="E5" i="160" s="1"/>
  <c r="E5" i="161" s="1"/>
  <c r="E5" i="162" s="1"/>
  <c r="E5" i="163" s="1"/>
  <c r="E5" i="164" s="1"/>
  <c r="E5" i="169" s="1"/>
  <c r="E5" i="170" s="1"/>
  <c r="E5" i="171" s="1"/>
  <c r="E5" i="172" s="1"/>
  <c r="E5" i="173" s="1"/>
  <c r="E5" i="174" s="1"/>
  <c r="E5" i="175" s="1"/>
  <c r="E5" i="176" s="1"/>
  <c r="E5" i="177" s="1"/>
  <c r="E5" i="178" s="1"/>
  <c r="E5" i="179" s="1"/>
  <c r="E5" i="180" s="1"/>
  <c r="E5" i="181" s="1"/>
  <c r="E5" i="182" s="1"/>
  <c r="E5" i="183" s="1"/>
  <c r="E5" i="184" s="1"/>
  <c r="F3" i="63"/>
  <c r="G3" i="64"/>
  <c r="F3" i="64"/>
  <c r="G3" i="63"/>
  <c r="A37" i="75"/>
  <c r="A34" i="76"/>
  <c r="E9" i="1"/>
  <c r="E98" i="1" s="1"/>
  <c r="A4" i="76"/>
  <c r="C8" i="1"/>
  <c r="E41" i="148"/>
  <c r="G30" i="73"/>
  <c r="C8" i="142"/>
  <c r="C97" i="142"/>
  <c r="E5" i="3"/>
  <c r="E5" i="133"/>
  <c r="E5" i="134" s="1"/>
  <c r="E5" i="135"/>
  <c r="E5" i="79" s="1"/>
  <c r="E5" i="138" s="1"/>
  <c r="E5" i="137" s="1"/>
  <c r="E5" i="136" s="1"/>
  <c r="E5" i="105" s="1"/>
  <c r="E5" i="139" s="1"/>
  <c r="F19" i="198"/>
  <c r="G32" i="61"/>
  <c r="C154" i="3"/>
  <c r="C154" i="133" s="1"/>
  <c r="D89" i="3"/>
  <c r="D89" i="133" s="1"/>
  <c r="D65" i="134"/>
  <c r="D90" i="134" s="1"/>
  <c r="D65" i="135"/>
  <c r="D90" i="135"/>
  <c r="C154" i="135"/>
  <c r="C155" i="135"/>
  <c r="E37" i="79"/>
  <c r="E37" i="138" s="1"/>
  <c r="E37" i="136"/>
  <c r="E42" i="136"/>
  <c r="E68" i="143"/>
  <c r="C68" i="143"/>
  <c r="C165" i="143" s="1"/>
  <c r="E68" i="144"/>
  <c r="E93" i="144" s="1"/>
  <c r="C68" i="144"/>
  <c r="C93" i="144" s="1"/>
  <c r="C58" i="180"/>
  <c r="D41" i="183"/>
  <c r="D58" i="183" s="1"/>
  <c r="E160" i="143"/>
  <c r="E160" i="144"/>
  <c r="E166" i="144"/>
  <c r="C36" i="150"/>
  <c r="C41" i="150" s="1"/>
  <c r="C58" i="150" s="1"/>
  <c r="D58" i="177"/>
  <c r="E41" i="178"/>
  <c r="C89" i="135"/>
  <c r="C42" i="136"/>
  <c r="C59" i="136" s="1"/>
  <c r="D160" i="144"/>
  <c r="D36" i="149"/>
  <c r="D41" i="149"/>
  <c r="D58" i="149" s="1"/>
  <c r="C36" i="157"/>
  <c r="C41" i="157" s="1"/>
  <c r="C58" i="157" s="1"/>
  <c r="J12" i="198"/>
  <c r="J19" i="198" s="1"/>
  <c r="E41" i="154"/>
  <c r="B1" i="137"/>
  <c r="B1" i="143"/>
  <c r="K2" i="198"/>
  <c r="E36" i="152"/>
  <c r="E41" i="152" s="1"/>
  <c r="D36" i="176"/>
  <c r="D41" i="176" s="1"/>
  <c r="D58" i="176" s="1"/>
  <c r="C36" i="177"/>
  <c r="C41" i="177"/>
  <c r="C58" i="177" s="1"/>
  <c r="C36" i="179"/>
  <c r="C41" i="179"/>
  <c r="C58" i="179" s="1"/>
  <c r="E1" i="134"/>
  <c r="D161" i="144"/>
  <c r="C162" i="144"/>
  <c r="E165" i="143"/>
  <c r="D4" i="61"/>
  <c r="H4" i="61" s="1"/>
  <c r="C4" i="73"/>
  <c r="G4" i="73" s="1"/>
  <c r="C90" i="135"/>
  <c r="C156" i="135" s="1"/>
  <c r="D7" i="76"/>
  <c r="C32" i="61"/>
  <c r="H30" i="73"/>
  <c r="D32" i="76" s="1"/>
  <c r="C31" i="73"/>
  <c r="D135" i="1"/>
  <c r="D135" i="142" s="1"/>
  <c r="C135" i="1"/>
  <c r="C135" i="142" s="1"/>
  <c r="C161" i="1"/>
  <c r="C161" i="142" s="1"/>
  <c r="B24" i="76"/>
  <c r="E24" i="76"/>
  <c r="D92" i="1"/>
  <c r="D92" i="142" s="1"/>
  <c r="C166" i="1"/>
  <c r="C68" i="1"/>
  <c r="C68" i="142" s="1"/>
  <c r="C165" i="142" s="1"/>
  <c r="B6" i="76"/>
  <c r="E6" i="76"/>
  <c r="D68" i="1"/>
  <c r="D68" i="142" s="1"/>
  <c r="D41" i="145"/>
  <c r="D41" i="146" s="1"/>
  <c r="C41" i="145"/>
  <c r="D58" i="79"/>
  <c r="D58" i="138" s="1"/>
  <c r="D128" i="3"/>
  <c r="D128" i="133" s="1"/>
  <c r="C89" i="3"/>
  <c r="C89" i="133" s="1"/>
  <c r="D65" i="3"/>
  <c r="D65" i="133" s="1"/>
  <c r="C65" i="3"/>
  <c r="C65" i="133" s="1"/>
  <c r="C165" i="1"/>
  <c r="D93" i="1"/>
  <c r="E65" i="3"/>
  <c r="E65" i="133" s="1"/>
  <c r="E90" i="3"/>
  <c r="E90" i="133" s="1"/>
  <c r="D131" i="197"/>
  <c r="E131" i="197"/>
  <c r="D66" i="197"/>
  <c r="D90" i="197" s="1"/>
  <c r="C89" i="197"/>
  <c r="C131" i="197"/>
  <c r="C155" i="197"/>
  <c r="C66" i="197"/>
  <c r="C90" i="197" s="1"/>
  <c r="E29" i="73"/>
  <c r="E30" i="73"/>
  <c r="I32" i="73" s="1"/>
  <c r="G32" i="73"/>
  <c r="D30" i="73"/>
  <c r="I31" i="73"/>
  <c r="E32" i="61"/>
  <c r="D18" i="76"/>
  <c r="E31" i="73"/>
  <c r="E92" i="1"/>
  <c r="E68" i="1"/>
  <c r="E68" i="142" s="1"/>
  <c r="B18" i="76"/>
  <c r="E18" i="76" s="1"/>
  <c r="I32" i="61"/>
  <c r="I31" i="61"/>
  <c r="D36" i="76"/>
  <c r="E135" i="1"/>
  <c r="D30" i="76"/>
  <c r="H31" i="61"/>
  <c r="D32" i="61"/>
  <c r="F23" i="199"/>
  <c r="E32" i="73"/>
  <c r="E29" i="211"/>
  <c r="E57" i="145"/>
  <c r="E57" i="105"/>
  <c r="E57" i="139" s="1"/>
  <c r="E58" i="79"/>
  <c r="E58" i="138" s="1"/>
  <c r="C23" i="204"/>
  <c r="C54" i="203"/>
  <c r="C71" i="203" s="1"/>
  <c r="D54" i="203"/>
  <c r="D71" i="203"/>
  <c r="B25" i="213"/>
  <c r="B39" i="213"/>
  <c r="B43" i="213"/>
  <c r="I39" i="213"/>
  <c r="I43" i="213" s="1"/>
  <c r="F43" i="213"/>
  <c r="E43" i="213"/>
  <c r="I49" i="213"/>
  <c r="B49" i="213"/>
  <c r="B19" i="213"/>
  <c r="I25" i="213"/>
  <c r="I19" i="213"/>
  <c r="C17" i="209"/>
  <c r="C16" i="209"/>
  <c r="E121" i="197"/>
  <c r="E118" i="3"/>
  <c r="E118" i="133"/>
  <c r="I9" i="61"/>
  <c r="G23" i="63"/>
  <c r="E119" i="197"/>
  <c r="E116" i="3"/>
  <c r="E116" i="133"/>
  <c r="E123" i="142"/>
  <c r="I7" i="61"/>
  <c r="C12" i="209"/>
  <c r="C34" i="209"/>
  <c r="C30" i="209"/>
  <c r="C19" i="209"/>
  <c r="C7" i="209"/>
  <c r="C43" i="209"/>
  <c r="C14" i="209"/>
  <c r="C22" i="209"/>
  <c r="C45" i="209"/>
  <c r="C13" i="209"/>
  <c r="C25" i="209"/>
  <c r="C23" i="209"/>
  <c r="C26" i="209"/>
  <c r="C42" i="209"/>
  <c r="C39" i="209"/>
  <c r="C37" i="209"/>
  <c r="C8" i="209"/>
  <c r="C40" i="209"/>
  <c r="C21" i="209"/>
  <c r="C41" i="209"/>
  <c r="C36" i="209"/>
  <c r="C20" i="209"/>
  <c r="C29" i="209"/>
  <c r="C15" i="209"/>
  <c r="C18" i="209"/>
  <c r="C10" i="209"/>
  <c r="C35" i="209"/>
  <c r="C11" i="209"/>
  <c r="C28" i="209"/>
  <c r="C27" i="209"/>
  <c r="C44" i="209"/>
  <c r="C32" i="209"/>
  <c r="C24" i="209"/>
  <c r="C31" i="209"/>
  <c r="C33" i="209"/>
  <c r="C9" i="209"/>
  <c r="C46" i="209"/>
  <c r="C38" i="209"/>
  <c r="E166" i="1" l="1"/>
  <c r="H32" i="73"/>
  <c r="D32" i="73"/>
  <c r="C41" i="146"/>
  <c r="C58" i="146" s="1"/>
  <c r="C58" i="145"/>
  <c r="C165" i="144"/>
  <c r="C4" i="61"/>
  <c r="G4" i="61" s="1"/>
  <c r="D4" i="73"/>
  <c r="H4" i="73" s="1"/>
  <c r="C37" i="138"/>
  <c r="C42" i="79"/>
  <c r="I14" i="200"/>
  <c r="I19" i="200" s="1"/>
  <c r="D166" i="143"/>
  <c r="D93" i="143"/>
  <c r="D162" i="143" s="1"/>
  <c r="D156" i="135"/>
  <c r="C92" i="142"/>
  <c r="C166" i="142" s="1"/>
  <c r="B7" i="76"/>
  <c r="E7" i="76" s="1"/>
  <c r="E7" i="144"/>
  <c r="E96" i="143"/>
  <c r="E164" i="143" s="1"/>
  <c r="E31" i="61"/>
  <c r="D19" i="76"/>
  <c r="D58" i="148"/>
  <c r="E92" i="142"/>
  <c r="B19" i="76"/>
  <c r="K21" i="94"/>
  <c r="M19" i="94"/>
  <c r="C32" i="73"/>
  <c r="D8" i="76"/>
  <c r="E135" i="142"/>
  <c r="E165" i="142" s="1"/>
  <c r="B36" i="76"/>
  <c r="E36" i="76" s="1"/>
  <c r="E161" i="1"/>
  <c r="E165" i="1"/>
  <c r="D93" i="142"/>
  <c r="B14" i="76"/>
  <c r="D156" i="134"/>
  <c r="D31" i="61"/>
  <c r="C93" i="143"/>
  <c r="C162" i="143" s="1"/>
  <c r="E166" i="143"/>
  <c r="B1" i="149"/>
  <c r="B1" i="151"/>
  <c r="B1" i="152"/>
  <c r="B1" i="150"/>
  <c r="D58" i="155"/>
  <c r="D58" i="160"/>
  <c r="C155" i="134"/>
  <c r="C156" i="134" s="1"/>
  <c r="D155" i="135"/>
  <c r="G33" i="61"/>
  <c r="C33" i="61"/>
  <c r="D155" i="134"/>
  <c r="C58" i="148"/>
  <c r="D58" i="156"/>
  <c r="D38" i="76"/>
  <c r="E93" i="1"/>
  <c r="C93" i="1"/>
  <c r="C90" i="3"/>
  <c r="B13" i="76"/>
  <c r="E13" i="76" s="1"/>
  <c r="B26" i="76"/>
  <c r="C8" i="143"/>
  <c r="H32" i="61"/>
  <c r="D57" i="155"/>
  <c r="E57" i="158"/>
  <c r="C58" i="170"/>
  <c r="C36" i="172"/>
  <c r="C41" i="172" s="1"/>
  <c r="C58" i="172" s="1"/>
  <c r="C36" i="176"/>
  <c r="C41" i="176" s="1"/>
  <c r="C58" i="176" s="1"/>
  <c r="E9" i="142"/>
  <c r="G31" i="61"/>
  <c r="D26" i="76" s="1"/>
  <c r="C128" i="3"/>
  <c r="D160" i="1"/>
  <c r="E36" i="105"/>
  <c r="D57" i="145"/>
  <c r="D58" i="145" s="1"/>
  <c r="D57" i="146"/>
  <c r="D58" i="146" s="1"/>
  <c r="E36" i="147"/>
  <c r="E41" i="147" s="1"/>
  <c r="C57" i="156"/>
  <c r="C58" i="156" s="1"/>
  <c r="B12" i="76"/>
  <c r="E12" i="76" s="1"/>
  <c r="D90" i="3"/>
  <c r="D165" i="1"/>
  <c r="B30" i="76"/>
  <c r="E30" i="76" s="1"/>
  <c r="E165" i="144"/>
  <c r="C41" i="105"/>
  <c r="D143" i="197"/>
  <c r="D141" i="197" s="1"/>
  <c r="D147" i="142"/>
  <c r="E57" i="148"/>
  <c r="E57" i="152"/>
  <c r="E36" i="155"/>
  <c r="E41" i="155" s="1"/>
  <c r="D57" i="156"/>
  <c r="E57" i="159"/>
  <c r="E36" i="164"/>
  <c r="E41" i="164" s="1"/>
  <c r="E42" i="79"/>
  <c r="E42" i="138" s="1"/>
  <c r="E41" i="145"/>
  <c r="E41" i="146" s="1"/>
  <c r="B1" i="147"/>
  <c r="B1" i="148"/>
  <c r="D42" i="79"/>
  <c r="D37" i="138"/>
  <c r="A5" i="205"/>
  <c r="D36" i="105"/>
  <c r="D57" i="163"/>
  <c r="D58" i="181"/>
  <c r="B25" i="76"/>
  <c r="E25" i="76" s="1"/>
  <c r="C58" i="79"/>
  <c r="C58" i="138" s="1"/>
  <c r="E152" i="142"/>
  <c r="E148" i="197"/>
  <c r="E146" i="197" s="1"/>
  <c r="E154" i="3"/>
  <c r="E154" i="133" s="1"/>
  <c r="E128" i="3"/>
  <c r="E57" i="154"/>
  <c r="E36" i="156"/>
  <c r="E41" i="156" s="1"/>
  <c r="D36" i="163"/>
  <c r="D41" i="163" s="1"/>
  <c r="D152" i="142"/>
  <c r="D148" i="197"/>
  <c r="D146" i="197" s="1"/>
  <c r="E160" i="1"/>
  <c r="D154" i="3"/>
  <c r="D57" i="105"/>
  <c r="D57" i="139" s="1"/>
  <c r="C36" i="162"/>
  <c r="C41" i="162" s="1"/>
  <c r="C58" i="162" s="1"/>
  <c r="E143" i="197"/>
  <c r="E141" i="197" s="1"/>
  <c r="E147" i="142"/>
  <c r="D36" i="174"/>
  <c r="D41" i="174" s="1"/>
  <c r="D58" i="174" s="1"/>
  <c r="C58" i="178"/>
  <c r="E37" i="197"/>
  <c r="E30" i="197" s="1"/>
  <c r="E66" i="197" s="1"/>
  <c r="E90" i="197" s="1"/>
  <c r="H1" i="63"/>
  <c r="D154" i="197" l="1"/>
  <c r="D155" i="197" s="1"/>
  <c r="D156" i="197" s="1"/>
  <c r="D58" i="163"/>
  <c r="E93" i="142"/>
  <c r="C10" i="208"/>
  <c r="C13" i="208" s="1"/>
  <c r="B20" i="76"/>
  <c r="E154" i="197"/>
  <c r="E155" i="197" s="1"/>
  <c r="H33" i="61"/>
  <c r="D14" i="76"/>
  <c r="D33" i="61"/>
  <c r="I33" i="61"/>
  <c r="D20" i="76"/>
  <c r="E33" i="61"/>
  <c r="E9" i="143"/>
  <c r="E98" i="142"/>
  <c r="E128" i="133"/>
  <c r="E155" i="3"/>
  <c r="E155" i="133" s="1"/>
  <c r="D36" i="139"/>
  <c r="D41" i="105"/>
  <c r="C41" i="139"/>
  <c r="C58" i="139" s="1"/>
  <c r="C58" i="105"/>
  <c r="E26" i="76"/>
  <c r="E14" i="76"/>
  <c r="B1" i="156"/>
  <c r="B1" i="155"/>
  <c r="B1" i="153"/>
  <c r="B1" i="154"/>
  <c r="D154" i="133"/>
  <c r="D155" i="3"/>
  <c r="D155" i="133" s="1"/>
  <c r="M21" i="94"/>
  <c r="K23" i="94"/>
  <c r="I2" i="73"/>
  <c r="I2" i="61" s="1"/>
  <c r="G2" i="63" s="1"/>
  <c r="G2" i="64" s="1"/>
  <c r="E4" i="3" s="1"/>
  <c r="E4" i="133" s="1"/>
  <c r="E4" i="134" s="1"/>
  <c r="E4" i="135" s="1"/>
  <c r="E4" i="79" s="1"/>
  <c r="E4" i="138" s="1"/>
  <c r="E4" i="137" s="1"/>
  <c r="E4" i="136" s="1"/>
  <c r="E96" i="144"/>
  <c r="E164" i="144" s="1"/>
  <c r="E160" i="142"/>
  <c r="B37" i="76"/>
  <c r="E37" i="76" s="1"/>
  <c r="E19" i="76"/>
  <c r="C42" i="138"/>
  <c r="C59" i="138" s="1"/>
  <c r="C59" i="79"/>
  <c r="D42" i="138"/>
  <c r="D59" i="138" s="1"/>
  <c r="D59" i="79"/>
  <c r="E36" i="139"/>
  <c r="E41" i="105"/>
  <c r="E41" i="139" s="1"/>
  <c r="C90" i="133"/>
  <c r="C156" i="3"/>
  <c r="E161" i="142"/>
  <c r="C11" i="208"/>
  <c r="B38" i="76"/>
  <c r="E38" i="76" s="1"/>
  <c r="E166" i="142"/>
  <c r="D90" i="133"/>
  <c r="D156" i="133" s="1"/>
  <c r="D160" i="142"/>
  <c r="D166" i="142" s="1"/>
  <c r="B31" i="76"/>
  <c r="E31" i="76" s="1"/>
  <c r="D166" i="1"/>
  <c r="D161" i="1"/>
  <c r="C93" i="142"/>
  <c r="C162" i="142" s="1"/>
  <c r="B8" i="76"/>
  <c r="E8" i="76" s="1"/>
  <c r="C162" i="1"/>
  <c r="C128" i="133"/>
  <c r="C155" i="3"/>
  <c r="C155" i="133" s="1"/>
  <c r="E4" i="157" l="1"/>
  <c r="E4" i="158" s="1"/>
  <c r="E4" i="159" s="1"/>
  <c r="E4" i="160" s="1"/>
  <c r="E4" i="161"/>
  <c r="E4" i="162" s="1"/>
  <c r="E4" i="163" s="1"/>
  <c r="E4" i="164" s="1"/>
  <c r="E4" i="169"/>
  <c r="E4" i="170" s="1"/>
  <c r="E4" i="171" s="1"/>
  <c r="E4" i="172" s="1"/>
  <c r="E4" i="149"/>
  <c r="E4" i="150" s="1"/>
  <c r="E4" i="151" s="1"/>
  <c r="E4" i="152" s="1"/>
  <c r="E4" i="153"/>
  <c r="E4" i="154" s="1"/>
  <c r="E4" i="155" s="1"/>
  <c r="E4" i="156" s="1"/>
  <c r="E4" i="105"/>
  <c r="E4" i="139" s="1"/>
  <c r="E4" i="140" s="1"/>
  <c r="E4" i="141" s="1"/>
  <c r="E4" i="181"/>
  <c r="E4" i="182" s="1"/>
  <c r="E4" i="183" s="1"/>
  <c r="E4" i="184" s="1"/>
  <c r="E5" i="197" s="1"/>
  <c r="E4" i="145"/>
  <c r="E4" i="146" s="1"/>
  <c r="E4" i="147" s="1"/>
  <c r="E4" i="148" s="1"/>
  <c r="E4" i="173"/>
  <c r="E4" i="174" s="1"/>
  <c r="E4" i="175" s="1"/>
  <c r="E4" i="176" s="1"/>
  <c r="E4" i="177"/>
  <c r="E4" i="178" s="1"/>
  <c r="E4" i="179" s="1"/>
  <c r="E4" i="180" s="1"/>
  <c r="D161" i="142"/>
  <c r="D162" i="142" s="1"/>
  <c r="B32" i="76"/>
  <c r="E32" i="76" s="1"/>
  <c r="D162" i="1"/>
  <c r="B1" i="157"/>
  <c r="B1" i="158"/>
  <c r="B1" i="160"/>
  <c r="B1" i="159"/>
  <c r="M23" i="94"/>
  <c r="K25" i="94"/>
  <c r="E9" i="144"/>
  <c r="E98" i="143"/>
  <c r="E20" i="76"/>
  <c r="C156" i="133"/>
  <c r="D156" i="3"/>
  <c r="D41" i="139"/>
  <c r="D58" i="139" s="1"/>
  <c r="D58" i="105"/>
  <c r="B1" i="163" l="1"/>
  <c r="B1" i="162"/>
  <c r="B1" i="164"/>
  <c r="B1" i="161"/>
  <c r="E4" i="73"/>
  <c r="E98" i="144"/>
  <c r="K27" i="94"/>
  <c r="M25" i="94"/>
  <c r="J2" i="198"/>
  <c r="I3" i="199" s="1"/>
  <c r="E92" i="197"/>
  <c r="H2" i="200" l="1"/>
  <c r="D5" i="201"/>
  <c r="E6" i="202" s="1"/>
  <c r="B1" i="171"/>
  <c r="B1" i="169"/>
  <c r="B1" i="170"/>
  <c r="B1" i="172"/>
  <c r="K29" i="94"/>
  <c r="M27" i="94"/>
  <c r="I4" i="73"/>
  <c r="E4" i="61"/>
  <c r="I4" i="61" s="1"/>
  <c r="C5" i="203" l="1"/>
  <c r="B6" i="204"/>
  <c r="B1" i="174"/>
  <c r="B1" i="173"/>
  <c r="B1" i="176"/>
  <c r="B1" i="175"/>
  <c r="K31" i="94"/>
  <c r="M31" i="94" s="1"/>
  <c r="M29" i="94"/>
  <c r="B1" i="180" l="1"/>
  <c r="B1" i="178"/>
  <c r="B1" i="179"/>
  <c r="B1" i="177"/>
  <c r="B1" i="183"/>
  <c r="B1" i="184"/>
  <c r="B1" i="181"/>
  <c r="B1" i="182"/>
</calcChain>
</file>

<file path=xl/sharedStrings.xml><?xml version="1.0" encoding="utf-8"?>
<sst xmlns="http://schemas.openxmlformats.org/spreadsheetml/2006/main" count="8812" uniqueCount="945">
  <si>
    <t>Vállalkozási maradvány igénybevétele</t>
  </si>
  <si>
    <t>Felhalmozási bevételek</t>
  </si>
  <si>
    <t>Finanszírozási kiadások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</si>
  <si>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</si>
  <si>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</si>
  <si>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</si>
  <si>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</si>
  <si>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</si>
  <si>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</si>
  <si>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</si>
  <si>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</si>
  <si>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</si>
  <si>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</si>
  <si>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</si>
  <si>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</si>
  <si>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</si>
  <si>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</si>
  <si>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</si>
  <si>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</si>
  <si>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</si>
  <si>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</si>
  <si>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</si>
  <si>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</si>
  <si>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</si>
  <si>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</si>
  <si>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</si>
  <si>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</si>
  <si>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</si>
  <si>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</si>
  <si>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</si>
  <si>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</si>
  <si>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</si>
  <si>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</si>
  <si>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</si>
  <si>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</si>
  <si>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Személyi  juttatások</t>
  </si>
  <si>
    <t>Tartalékok</t>
  </si>
  <si>
    <t>Összesen:</t>
  </si>
  <si>
    <t>01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</si>
  <si>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</si>
  <si>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</si>
  <si>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</si>
  <si>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</si>
  <si>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</si>
  <si>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</si>
  <si>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</si>
  <si>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</si>
  <si>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</si>
  <si>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</si>
  <si>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</si>
  <si>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</si>
  <si>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</si>
  <si>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</si>
  <si>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</si>
  <si>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</si>
  <si>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</si>
  <si>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</si>
  <si>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</si>
  <si>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</si>
  <si>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</si>
  <si>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</si>
  <si>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</si>
  <si>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</si>
  <si>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</si>
  <si>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</si>
  <si>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</si>
  <si>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</si>
  <si>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</si>
  <si>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</si>
  <si>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</si>
  <si>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</si>
  <si>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</si>
  <si>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</si>
  <si>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</si>
  <si>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</si>
  <si>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</si>
  <si>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</si>
  <si>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</si>
  <si>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</si>
  <si>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</si>
  <si>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</si>
  <si>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</si>
  <si>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</si>
  <si>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Források</t>
  </si>
  <si>
    <t>Saját erő</t>
  </si>
  <si>
    <t>EU-s forrás</t>
  </si>
  <si>
    <t>Hitel</t>
  </si>
  <si>
    <t>Egyéb forrás</t>
  </si>
  <si>
    <t>Források összesen: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</si>
  <si>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</si>
  <si>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</si>
  <si>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</si>
  <si>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</si>
  <si>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</si>
  <si>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</si>
  <si>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</si>
  <si>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</si>
  <si>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</si>
  <si>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</si>
  <si>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</si>
  <si>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</si>
  <si>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</si>
  <si>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</si>
  <si>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</si>
  <si>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</si>
  <si>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</si>
  <si>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</si>
  <si>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</si>
  <si>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</si>
  <si>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</si>
  <si>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</si>
  <si>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</si>
  <si>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</si>
  <si>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</si>
  <si>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</si>
  <si>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</si>
  <si>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</si>
  <si>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</si>
  <si>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</si>
  <si>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</si>
  <si>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</si>
  <si>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</si>
  <si>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</si>
  <si>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</si>
  <si>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</si>
  <si>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</si>
  <si>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</si>
  <si>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</si>
  <si>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</si>
  <si>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</si>
  <si>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</si>
  <si>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</si>
  <si>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</si>
  <si>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</si>
  <si>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</si>
  <si>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</si>
  <si>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</si>
  <si>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</si>
  <si>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</si>
  <si>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</si>
  <si>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</si>
  <si>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</si>
  <si>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</si>
  <si>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</si>
  <si>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</si>
  <si>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</si>
  <si>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</si>
  <si>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</si>
  <si>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</si>
  <si>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</si>
  <si>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</si>
  <si>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</si>
  <si>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</si>
  <si>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</si>
  <si>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</si>
  <si>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</si>
  <si>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</si>
  <si>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</si>
  <si>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</si>
  <si>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</si>
  <si>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</si>
  <si>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</si>
  <si>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</si>
  <si>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</si>
  <si>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</si>
  <si>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</si>
  <si>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</si>
  <si>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</si>
  <si>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</si>
  <si>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</si>
  <si>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</si>
  <si>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</si>
  <si>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</si>
  <si>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</si>
  <si>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</si>
  <si>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</si>
  <si>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4.1.</t>
  </si>
  <si>
    <t>4.2.</t>
  </si>
  <si>
    <t>4.3.</t>
  </si>
  <si>
    <t>4.4.</t>
  </si>
  <si>
    <t>Gépjárműadó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</si>
  <si>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</si>
  <si>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</si>
  <si>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</si>
  <si>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</si>
  <si>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</si>
  <si>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</si>
  <si>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</si>
  <si>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</si>
  <si>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</si>
  <si>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</si>
  <si>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</si>
  <si>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</si>
  <si>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</si>
  <si>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</si>
  <si>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</si>
  <si>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</si>
  <si>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</si>
  <si>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</si>
  <si>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</si>
  <si>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</si>
  <si>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</si>
  <si>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</si>
  <si>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</si>
  <si>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</si>
  <si>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</si>
  <si>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</si>
  <si>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</si>
  <si>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</si>
  <si>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</si>
  <si>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</si>
  <si>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</si>
  <si>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</si>
  <si>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</si>
  <si>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</si>
  <si>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</si>
  <si>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</si>
  <si>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</si>
  <si>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</si>
  <si>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</si>
  <si>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</si>
  <si>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</si>
  <si>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</si>
  <si>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</si>
  <si>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</si>
  <si>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</si>
  <si>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</si>
  <si>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</si>
  <si>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</si>
  <si>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</si>
  <si>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</si>
  <si>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</si>
  <si>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</si>
  <si>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</si>
  <si>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</si>
  <si>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</si>
  <si>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</si>
  <si>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</si>
  <si>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</si>
  <si>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</si>
  <si>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</si>
  <si>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</si>
  <si>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</si>
  <si>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</si>
  <si>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</si>
  <si>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</si>
  <si>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</si>
  <si>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</si>
  <si>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</si>
  <si>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</si>
  <si>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</si>
  <si>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</si>
  <si>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</si>
  <si>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</si>
  <si>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</si>
  <si>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</si>
  <si>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</si>
  <si>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</si>
  <si>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</si>
  <si>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</si>
  <si>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</si>
  <si>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</si>
  <si>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</si>
  <si>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</si>
  <si>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</si>
  <si>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</si>
  <si>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</si>
  <si>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</si>
  <si>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</si>
  <si>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</si>
  <si>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</si>
  <si>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</si>
  <si>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</si>
  <si>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</si>
  <si>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</si>
  <si>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</si>
  <si>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</si>
  <si>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</si>
  <si>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</si>
  <si>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</si>
  <si>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</si>
  <si>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</si>
  <si>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</si>
  <si>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Értékpapírok bevételei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</si>
  <si>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</si>
  <si>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</si>
  <si>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</si>
  <si>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</si>
  <si>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</si>
  <si>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</si>
  <si>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</si>
  <si>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</si>
  <si>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</si>
  <si>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</si>
  <si>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</si>
  <si>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</si>
  <si>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</si>
  <si>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</si>
  <si>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</si>
  <si>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</si>
  <si>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</si>
  <si>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</si>
  <si>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</si>
  <si>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Polgármesteri /közös/ hivatal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</si>
  <si>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</si>
  <si>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</si>
  <si>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</si>
  <si>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</si>
  <si>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</si>
  <si>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</si>
  <si>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</si>
  <si>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</si>
  <si>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</si>
  <si>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</si>
  <si>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</si>
  <si>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</si>
  <si>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</si>
  <si>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</si>
  <si>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</si>
  <si>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</si>
  <si>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</si>
  <si>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</si>
  <si>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</si>
  <si>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</si>
  <si>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</si>
  <si>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</si>
  <si>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</si>
  <si>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</si>
  <si>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</si>
  <si>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</si>
  <si>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</si>
  <si>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</si>
  <si>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</si>
  <si>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</si>
  <si>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</si>
  <si>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</si>
  <si>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</si>
  <si>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</si>
  <si>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</si>
  <si>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</si>
  <si>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</si>
  <si>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</si>
  <si>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</si>
  <si>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</si>
  <si>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</si>
  <si>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</si>
  <si>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</si>
  <si>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</si>
  <si>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</si>
  <si>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</si>
  <si>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</si>
  <si>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</si>
  <si>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</si>
  <si>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</si>
  <si>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</si>
  <si>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</si>
  <si>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</si>
  <si>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</si>
  <si>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</si>
  <si>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</si>
  <si>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</si>
  <si>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</si>
  <si>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</si>
  <si>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</si>
  <si>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</si>
  <si>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</si>
  <si>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</si>
  <si>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</si>
  <si>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</si>
  <si>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</si>
  <si>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</si>
  <si>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</si>
  <si>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</si>
  <si>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</si>
  <si>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</si>
  <si>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</si>
  <si>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</si>
  <si>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</si>
  <si>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</si>
  <si>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</si>
  <si>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</si>
  <si>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</si>
  <si>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</si>
  <si>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</si>
  <si>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BEVÉTEL ÖSSZESEN (13.+24.)</t>
  </si>
  <si>
    <t>A</t>
  </si>
  <si>
    <t>B</t>
  </si>
  <si>
    <t>C</t>
  </si>
  <si>
    <t>E</t>
  </si>
  <si>
    <t>D</t>
  </si>
  <si>
    <t>F</t>
  </si>
  <si>
    <t>G</t>
  </si>
  <si>
    <t>H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</si>
  <si>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</si>
  <si>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</si>
  <si>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</si>
  <si>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</si>
  <si>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</si>
  <si>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</si>
  <si>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</si>
  <si>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</si>
  <si>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</si>
  <si>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</si>
  <si>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</si>
  <si>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</si>
  <si>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</si>
  <si>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</si>
  <si>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</si>
  <si>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</si>
  <si>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</si>
  <si>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</si>
  <si>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</si>
  <si>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</si>
  <si>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</si>
  <si>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</si>
  <si>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Államigazgatási feladatok bevételei, kiadásai</t>
  </si>
  <si>
    <t>Központi, irányító szervi támogatás</t>
  </si>
  <si>
    <t>Belföldi finanszírozás kiadásai (6.1. + … + 6.5.)</t>
  </si>
  <si>
    <t>Eredeti
előirányzat</t>
  </si>
  <si>
    <t>Módosított
előirányzat</t>
  </si>
  <si>
    <t>Kiadási jogcím</t>
  </si>
  <si>
    <t>Hitel-, kölcsöntörlesztés államházt-on kívülre (4.1. + … + 4.3.)</t>
  </si>
  <si>
    <t xml:space="preserve">F </t>
  </si>
  <si>
    <t>I</t>
  </si>
  <si>
    <t>2.2. melléklet</t>
  </si>
  <si>
    <t>2.1. számú melléklet C. oszlop 13. sor + 2.2. számú melléklet C. oszlop 12. sor</t>
  </si>
  <si>
    <t>2.1. számú melléklet D. oszlop 13. sor + 2.2. számú melléklet D. oszlop 12. sor</t>
  </si>
  <si>
    <t>2.1. számú melléklet E. oszlop 13. sor + 2.2. számú melléklet E. oszlop 12. sor</t>
  </si>
  <si>
    <t>2.1. számú melléklet G. oszlop 13. sor + 2.2. számú melléklet G. oszlop 12. sor</t>
  </si>
  <si>
    <t>2.1. számú melléklet H. oszlop 13. sor + 2.2. számú melléklet H. oszlop 12. sor</t>
  </si>
  <si>
    <t>2.1. számú melléklet I. oszlop 13. sor + 2.2. számú melléklet I. oszlop 12. sor</t>
  </si>
  <si>
    <t>2.1. számú melléklet C. oszlop 24. sor + 2.2. számú melléklet C. oszlop 25. sor</t>
  </si>
  <si>
    <t>2.1. számú melléklet C. oszlop 25. sor + 2.2. számú melléklet C. oszlop 26. sor</t>
  </si>
  <si>
    <t>2.1. számú melléklet D. oszlop 24. sor + 2.2. számú melléklet D. oszlop 25. sor</t>
  </si>
  <si>
    <t>2.1. számú melléklet D. oszlop 25. sor + 2.2. számú melléklet D. oszlop 26. sor</t>
  </si>
  <si>
    <t>2.1. számú melléklet E. oszlop 24. sor + 2.2. számú melléklet E. oszlop 25. sor</t>
  </si>
  <si>
    <t>2.1. számú melléklet E. oszlop 25. sor + 2.2. számú melléklet E. oszlop 26. sor</t>
  </si>
  <si>
    <t>2.1. számú melléklet G. oszlop 24. sor + 2.2. számú melléklet G. oszlop 25. sor</t>
  </si>
  <si>
    <t>2.1. számú melléklet G. oszlop 25. sor + 2.2. számú melléklet G. oszlop 26. sor</t>
  </si>
  <si>
    <t>2.1. számú melléklet H. oszlop 24. sor + 2.2. számú melléklet H. oszlop 25. sor</t>
  </si>
  <si>
    <t>2.1. számú melléklet H. oszlop 25. sor + 2.2. számú melléklet H. oszlop 26. sor</t>
  </si>
  <si>
    <t>2.1. számú melléklet I. oszlop 24. sor + 2.2. számú melléklet I. oszlop 25. sor</t>
  </si>
  <si>
    <t>2.1. számú melléklet I. oszlop 25. sor + 2.2. számú melléklet I. oszlop 26. sor</t>
  </si>
  <si>
    <t>G=(D+F)</t>
  </si>
  <si>
    <t>Támogatási szerződés szerinti bevételek, kiadások</t>
  </si>
  <si>
    <t>Teljesítés</t>
  </si>
  <si>
    <t>Eredeti</t>
  </si>
  <si>
    <t>Módosított</t>
  </si>
  <si>
    <t>Eredeti előirányzat</t>
  </si>
  <si>
    <t>Módosított előirányzat</t>
  </si>
  <si>
    <t>6.1.1. melléklet</t>
  </si>
  <si>
    <t>6.1.2. melléklet</t>
  </si>
  <si>
    <t>Költségvetési szerv</t>
  </si>
  <si>
    <t>1.1 sz. melléklet Bevételek táblázat C. oszlop 17 sora =</t>
  </si>
  <si>
    <t>1.1 sz. melléklet Bevételek táblázat C. oszlop 18 sora =</t>
  </si>
  <si>
    <t>1.1. sz. melléklet Bevételek táblázat C. oszlop 9 sora =</t>
  </si>
  <si>
    <t>1.1. sz. melléklet Bevételek táblázat D. oszlop 9 sora =</t>
  </si>
  <si>
    <t>1.1. sz. melléklet Bevételek táblázat D. oszlop 17 sora =</t>
  </si>
  <si>
    <t>1.1. sz. melléklet Bevételek táblázat D. oszlop 18 sora =</t>
  </si>
  <si>
    <t>1.1. sz. melléklet Bevételek táblázat E. oszlop 9 sora =</t>
  </si>
  <si>
    <t>1.1. sz. melléklet Bevételek táblázat E. oszlop 17 sora =</t>
  </si>
  <si>
    <t>1.1. sz. melléklet Bevételek táblázat E. oszlop 18 sora =</t>
  </si>
  <si>
    <t>1.1.sz. melléklet Kiadások táblázat C. oszlop 3 sora =</t>
  </si>
  <si>
    <t>1.1. sz. melléklet Kiadások táblázat C. oszlop 10 sora =</t>
  </si>
  <si>
    <t>1.1. sz. melléklet Kiadások táblázat C. oszlop 11 sora =</t>
  </si>
  <si>
    <t>1.1. sz. melléklet Kiadások táblázat D. oszlop 3 sora =</t>
  </si>
  <si>
    <t>1.1. sz. melléklet Kiadások táblázat D. oszlop 10 sora =</t>
  </si>
  <si>
    <t>1.1. sz. melléklet Kiadások táblázat D. oszlop 11 sora =</t>
  </si>
  <si>
    <t>1.1. sz. melléklet Kiadások táblázat E. oszlop 3 sora =</t>
  </si>
  <si>
    <t>1.1. sz. melléklet Kiadások táblázat E. oszlop 10 sora =</t>
  </si>
  <si>
    <t>1.1.sz. melléklet Kiadások táblázat E. oszlop 11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</si>
  <si>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</si>
  <si>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</si>
  <si>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</si>
  <si>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E. oszlop 11 sora =</t>
  </si>
  <si>
    <t>Közhatalmi bevételek (4.1.+…+4.7.)</t>
  </si>
  <si>
    <t>Építményadó</t>
  </si>
  <si>
    <t>Iparűzési adó</t>
  </si>
  <si>
    <t>Talajterhelési díj</t>
  </si>
  <si>
    <t>4.5.</t>
  </si>
  <si>
    <t>4.6.</t>
  </si>
  <si>
    <t>4.7.</t>
  </si>
  <si>
    <t>Kamatbevételek és más nyereségjellegű bevételek</t>
  </si>
  <si>
    <t>Kiemelt előirányzat, előirányzat megnevezése</t>
  </si>
  <si>
    <t>Tényleges állományi létszám előirányzat (fő)</t>
  </si>
  <si>
    <t>Közfoglalkoztatottak tényleges állományi létszáma (fő)</t>
  </si>
  <si>
    <t xml:space="preserve"> Forintban!</t>
  </si>
  <si>
    <t>Bruttó  hiány:</t>
  </si>
  <si>
    <t>Bruttó  többlet:</t>
  </si>
  <si>
    <t>Éven belüli lejáratú belföldi értékpapírok kibocsátása</t>
  </si>
  <si>
    <t>Éven túli lejáratú belföldi értékpapírok kibocsátása</t>
  </si>
  <si>
    <t>Lekötött betétek megszüntetése</t>
  </si>
  <si>
    <t>ALAPADATOK</t>
  </si>
  <si>
    <t>1. költségvetési szerv neve</t>
  </si>
  <si>
    <t>2. költségvetési szerv neve</t>
  </si>
  <si>
    <t>3. költségvetési szerv neve</t>
  </si>
  <si>
    <t>3 kvi név</t>
  </si>
  <si>
    <t>4. költségvetési szerv neve</t>
  </si>
  <si>
    <t>4 kvi név</t>
  </si>
  <si>
    <t>5. költségvetési szerv neve</t>
  </si>
  <si>
    <t>5 kvi név</t>
  </si>
  <si>
    <t>6. költségvetési szerv neve</t>
  </si>
  <si>
    <t>6 kvi név</t>
  </si>
  <si>
    <t>7. költségvetési szerv neve</t>
  </si>
  <si>
    <t>7 kvi név</t>
  </si>
  <si>
    <t>8. költségvetési szerv neve</t>
  </si>
  <si>
    <t>8 kvi név</t>
  </si>
  <si>
    <t>9 kvi név</t>
  </si>
  <si>
    <t>10. költségvetési szerv neve</t>
  </si>
  <si>
    <t>10 kvi név</t>
  </si>
  <si>
    <t>2.1. melléklet</t>
  </si>
  <si>
    <t>05</t>
  </si>
  <si>
    <t>06</t>
  </si>
  <si>
    <t>07</t>
  </si>
  <si>
    <t>08</t>
  </si>
  <si>
    <t>09</t>
  </si>
  <si>
    <t>10</t>
  </si>
  <si>
    <t>11</t>
  </si>
  <si>
    <t>12</t>
  </si>
  <si>
    <t>Zárszámadási rendelet űrlapjainak összefüggései:</t>
  </si>
  <si>
    <t>Beruházási (felhalmozási) kiadások előirányzata és teljesítése beruházásonként</t>
  </si>
  <si>
    <t>Felújítási kiadások előirányzata és teljesítése felújításonként</t>
  </si>
  <si>
    <t>Európai uniós támogatással megvalósuló projektek</t>
  </si>
  <si>
    <t>6.1. melléklet</t>
  </si>
  <si>
    <t>Közhatalmi bevételek (4.1.+...+4.7.)</t>
  </si>
  <si>
    <t>Működési bevételek (5.1.+…+ 5.10.)</t>
  </si>
  <si>
    <t>Működési célú visszatérítendő támogatások kölcsönök visszatér. ÁH-n kívülről</t>
  </si>
  <si>
    <t>Felhalm. célú visszatérítendő támogatások kölcsönök visszatér. ÁH-n kívülről</t>
  </si>
  <si>
    <t>Hitel-, kölcsönfelvétel államháztartáson kívülről  (10.1.+…+10.3.)</t>
  </si>
  <si>
    <t>Lejötött betétek megszüntetése</t>
  </si>
  <si>
    <t>FINANSZÍROZÁSI BEVÉTELEK ÖSSZESEN: (10. + … +15.)</t>
  </si>
  <si>
    <t>KÖLTSÉGVETÉSI ÉS FINANSZÍROZÁSI BEVÉTELEK ÖSSZESEN: (9+16)</t>
  </si>
  <si>
    <t>Forgatási célú belföldi értékpapírok beváltása</t>
  </si>
  <si>
    <t>Befektetési célú belföldi értékpapírok beváltása</t>
  </si>
  <si>
    <t xml:space="preserve">Pénzeszközök betétként elhelyezése 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</si>
  <si>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</si>
  <si>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</si>
  <si>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</si>
  <si>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>Kötelezettség
jogcíme</t>
  </si>
  <si>
    <t>Kötelezettség- 
vállalás 
éve</t>
  </si>
  <si>
    <t>Összes vállalt kötelezettség</t>
  </si>
  <si>
    <t>Kötelezettségek a következő években</t>
  </si>
  <si>
    <t>Még fennálló kötelezettség</t>
  </si>
  <si>
    <t xml:space="preserve">B </t>
  </si>
  <si>
    <t>J=(F+…+I)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</si>
  <si>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</si>
  <si>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</si>
  <si>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</si>
  <si>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</si>
  <si>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Felújítás célonként</t>
  </si>
  <si>
    <t>Egyéb</t>
  </si>
  <si>
    <t>Összesen (1+4+7+9+11)</t>
  </si>
  <si>
    <t xml:space="preserve">Hitel, kölcsön </t>
  </si>
  <si>
    <t>Kölcsön-
nyújtás
éve</t>
  </si>
  <si>
    <t xml:space="preserve">Lejárat
éve </t>
  </si>
  <si>
    <t>Hitel, kölcsön állomány december 31-én</t>
  </si>
  <si>
    <t xml:space="preserve">Rövid lejáratú </t>
  </si>
  <si>
    <t>Hosszú lejáratú</t>
  </si>
  <si>
    <t>Összesen (1+8)</t>
  </si>
  <si>
    <t xml:space="preserve">Adósságállomány 
eszközök szerint </t>
  </si>
  <si>
    <t>Nem lejárt</t>
  </si>
  <si>
    <t>Lejárt</t>
  </si>
  <si>
    <t>1-90 nap közötti</t>
  </si>
  <si>
    <t>91-180 nap közötti</t>
  </si>
  <si>
    <t>181-360 nap közötti</t>
  </si>
  <si>
    <t>360 napon 
túli</t>
  </si>
  <si>
    <t>Összes lejárt tartozás</t>
  </si>
  <si>
    <t>H=(D+…+G)</t>
  </si>
  <si>
    <t>I=(C+H)</t>
  </si>
  <si>
    <t>I. Belföldi hitelezők</t>
  </si>
  <si>
    <t>Adóhatósággal szembeni tartozások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</si>
  <si>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</si>
  <si>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</si>
  <si>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</si>
  <si>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</si>
  <si>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</si>
  <si>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</si>
  <si>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</si>
  <si>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Tervezett</t>
  </si>
  <si>
    <t>Tényleges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</si>
  <si>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</si>
  <si>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</si>
  <si>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</si>
  <si>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</si>
  <si>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</si>
  <si>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</si>
  <si>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</si>
  <si>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</si>
  <si>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</si>
  <si>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</si>
  <si>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</si>
  <si>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</si>
  <si>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menteség</t>
  </si>
  <si>
    <t>Eszközök hasznosítása utáni kedvezmény, menteség</t>
  </si>
  <si>
    <t>Egyéb kedvezmény</t>
  </si>
  <si>
    <t>A helyi adókból biztosított kedvezményeket, mentességeket, adónemenként kell feltüntetni.</t>
  </si>
  <si>
    <t>Támogatott szervezet neve</t>
  </si>
  <si>
    <t>Támogatás célja</t>
  </si>
  <si>
    <t>Tervezett 
(E Ft)</t>
  </si>
  <si>
    <t>Tényleges 
(E Ft)</t>
  </si>
  <si>
    <t>29.</t>
  </si>
  <si>
    <t>30.</t>
  </si>
  <si>
    <t>31.</t>
  </si>
  <si>
    <t>32.</t>
  </si>
  <si>
    <t>33.</t>
  </si>
  <si>
    <t>ESZKÖZÖK</t>
  </si>
  <si>
    <t>Sorszám</t>
  </si>
  <si>
    <t>Bruttó</t>
  </si>
  <si>
    <t xml:space="preserve">Könyv szerinti </t>
  </si>
  <si>
    <t xml:space="preserve">Becsült </t>
  </si>
  <si>
    <t>állományi érték</t>
  </si>
  <si>
    <t xml:space="preserve">A 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</si>
  <si>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</si>
  <si>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</si>
  <si>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</si>
  <si>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</si>
  <si>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</si>
  <si>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</si>
  <si>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</si>
  <si>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</si>
  <si>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</si>
  <si>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</si>
  <si>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</si>
  <si>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</si>
  <si>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</si>
  <si>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</si>
  <si>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</si>
  <si>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</si>
  <si>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</si>
  <si>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</si>
  <si>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</si>
  <si>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</si>
  <si>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</si>
  <si>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</si>
  <si>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</si>
  <si>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</si>
  <si>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</si>
  <si>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</si>
  <si>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</si>
  <si>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</si>
  <si>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</si>
  <si>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</si>
  <si>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</si>
  <si>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</si>
  <si>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</si>
  <si>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</si>
  <si>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</si>
  <si>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</si>
  <si>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</si>
  <si>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</si>
  <si>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</si>
  <si>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</si>
  <si>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</si>
  <si>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</si>
  <si>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</si>
  <si>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</si>
  <si>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</si>
  <si>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</si>
  <si>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</si>
  <si>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</si>
  <si>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</si>
  <si>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</si>
  <si>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</si>
  <si>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</si>
  <si>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</si>
  <si>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</si>
  <si>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</si>
  <si>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</si>
  <si>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</si>
  <si>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</si>
  <si>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</si>
  <si>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</si>
  <si>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</si>
  <si>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</si>
  <si>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</si>
  <si>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</si>
  <si>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</si>
  <si>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</si>
  <si>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</si>
  <si>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</si>
  <si>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</si>
  <si>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</si>
  <si>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</si>
  <si>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</si>
  <si>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</si>
  <si>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</si>
  <si>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</si>
  <si>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</si>
  <si>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</si>
  <si>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</si>
  <si>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</si>
  <si>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</si>
  <si>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</si>
  <si>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</si>
  <si>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</si>
  <si>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</si>
  <si>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</si>
  <si>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</si>
  <si>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</si>
  <si>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</si>
  <si>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</si>
  <si>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</si>
  <si>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I. December havi illetmények, munkabérek elszámolása</t>
  </si>
  <si>
    <t>58.</t>
  </si>
  <si>
    <t>II. Utalványok, bérletek és más hasonló, készpénz-helyettesítő fizetési 
     eszköznek nem minősülő eszközök elszámolásai</t>
  </si>
  <si>
    <t>59.</t>
  </si>
  <si>
    <t>60.</t>
  </si>
  <si>
    <t>F) AKTÍV IDŐBELI ELHATÁROLÁSOK</t>
  </si>
  <si>
    <t>61.</t>
  </si>
  <si>
    <t>ESZKÖZÖK ÖSSZESEN  (45+48+53+57+60+61)</t>
  </si>
  <si>
    <t>62.</t>
  </si>
  <si>
    <t>FORRÁSOK</t>
  </si>
  <si>
    <t>állományi 
érték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</si>
  <si>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</si>
  <si>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</si>
  <si>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</si>
  <si>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</si>
  <si>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</si>
  <si>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</si>
  <si>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</si>
  <si>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</si>
  <si>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</si>
  <si>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</si>
  <si>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</si>
  <si>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</si>
  <si>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</si>
  <si>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</si>
  <si>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Mennyiség
(db)</t>
  </si>
  <si>
    <t>Értéke
(Ft)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</si>
  <si>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</si>
  <si>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</si>
  <si>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</si>
  <si>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</si>
  <si>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</si>
  <si>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</si>
  <si>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</si>
  <si>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</si>
  <si>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</si>
  <si>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</si>
  <si>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</si>
  <si>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</si>
  <si>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</si>
  <si>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Gyűjtemény, régészeti lelet* (15+…+17)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</si>
  <si>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</si>
  <si>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</si>
  <si>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</si>
  <si>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</si>
  <si>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</si>
  <si>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* Nvt. 1. § (2) bekezdés g) és h) pontja szerinti kulturális javak és régészeti eszközök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</si>
  <si>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</si>
  <si>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</si>
  <si>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</si>
  <si>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</si>
  <si>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</si>
  <si>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PÉNZESZKÖZÖK VÁLTOZÁSÁNAK LEVEZETÉSE</t>
  </si>
  <si>
    <t>Összeg  (Ft )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</si>
  <si>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</si>
  <si>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</si>
  <si>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</si>
  <si>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</si>
  <si>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Egyéb korrekciós tételek (+,-)</t>
  </si>
  <si>
    <t>1. tájékoztató tábla</t>
  </si>
  <si>
    <t>Többéves kihatással járó döntésekből származó kötzelezettségek célok szerinti, évenkénti bontásban</t>
  </si>
  <si>
    <t>2. tájékoztató tábla</t>
  </si>
  <si>
    <t>3. tájékoztató tábla</t>
  </si>
  <si>
    <t>4. tájékoztató tábla</t>
  </si>
  <si>
    <t>5. tájékoztató tábla</t>
  </si>
  <si>
    <t>Az önkormányzat által adott közvetett támogatások</t>
  </si>
  <si>
    <t>(kedvezménye)</t>
  </si>
  <si>
    <t>K I M U T A T Á S</t>
  </si>
  <si>
    <t>6. tájékoztató tábla</t>
  </si>
  <si>
    <t>E) EGYÉB SAJÁTOS  ELSZÁMOLÁSOK (58+59)</t>
  </si>
  <si>
    <t>7.1. tájékoztató tábla</t>
  </si>
  <si>
    <t>VAGYONKIMUTATÁS</t>
  </si>
  <si>
    <t>a könyvviteli mérlegben értékkel szerplő eszközökről</t>
  </si>
  <si>
    <t>7.2. tájékoztató tábla</t>
  </si>
  <si>
    <t>7.3. tájékoztató tábla</t>
  </si>
  <si>
    <t>az érték nélkül nyilvántartott eszkzözkről</t>
  </si>
  <si>
    <t>8. tájékoztató tábla</t>
  </si>
  <si>
    <t>9. tájékoztató tábla</t>
  </si>
  <si>
    <t>Tartalomjegyzék</t>
  </si>
  <si>
    <t>Dokumentum neve</t>
  </si>
  <si>
    <t>A dokumentációs rendszerben található táblázatok listája</t>
  </si>
  <si>
    <t>Ugrás</t>
  </si>
  <si>
    <t>Alapadatok</t>
  </si>
  <si>
    <t>Adatok megadása</t>
  </si>
  <si>
    <t>Összefüggések</t>
  </si>
  <si>
    <t xml:space="preserve">1.1. melléklet </t>
  </si>
  <si>
    <t>1.2. melléklet</t>
  </si>
  <si>
    <t>1.3. melléklet</t>
  </si>
  <si>
    <t>1.4. melléklet</t>
  </si>
  <si>
    <t>Működési célú bevételek, kiadások mérlege</t>
  </si>
  <si>
    <t>Felhalmozási célú bevételek, kiadások mérlege</t>
  </si>
  <si>
    <t>Ellenőrző lista</t>
  </si>
  <si>
    <t>Ellenőrzés az 1-es és 2.1., 2.2. mellékletek adati esetében</t>
  </si>
  <si>
    <t>3. melléklet</t>
  </si>
  <si>
    <t>Beruházási (felhalmozási) kiadások előirányzata beruházásonként</t>
  </si>
  <si>
    <t>4. melléklet</t>
  </si>
  <si>
    <t>Felújítási kiadások előirányzata felújításonként</t>
  </si>
  <si>
    <t>5. melléklet</t>
  </si>
  <si>
    <t>Összes  bevétel, kiadás</t>
  </si>
  <si>
    <t>Kötelező feladtok bevételei, kiadásai</t>
  </si>
  <si>
    <t>6.1.3. melléklet</t>
  </si>
  <si>
    <t>Államigazgatási feladatok  bevételei, kiadásai</t>
  </si>
  <si>
    <t>6.2. melléklet</t>
  </si>
  <si>
    <t>6.3. melléklet</t>
  </si>
  <si>
    <t>6.4. melléklet</t>
  </si>
  <si>
    <t>6.5. melléklet</t>
  </si>
  <si>
    <t>6.6. melléklet</t>
  </si>
  <si>
    <t>6.7. melléklet</t>
  </si>
  <si>
    <t>6.8. melléklet</t>
  </si>
  <si>
    <t>6.9. melléklet</t>
  </si>
  <si>
    <t>6.10. melléklet</t>
  </si>
  <si>
    <t>6.11. melléklet</t>
  </si>
  <si>
    <t>6.12. melléklet</t>
  </si>
  <si>
    <t>ZÁRSZÁMADÁSI RENDLET</t>
  </si>
  <si>
    <t>Pénzeszköz változás levezetése</t>
  </si>
  <si>
    <t>a könyvviteli mérlegben értékkel szereplő forrásokról</t>
  </si>
  <si>
    <t>a</t>
  </si>
  <si>
    <t>…</t>
  </si>
  <si>
    <t>/</t>
  </si>
  <si>
    <t>(</t>
  </si>
  <si>
    <t>)</t>
  </si>
  <si>
    <t>önkormányzati rendelethez</t>
  </si>
  <si>
    <t>Táblázatok adatainak összefüggései</t>
  </si>
  <si>
    <t>Előterjesztéskor</t>
  </si>
  <si>
    <t>Az önkormányzat által nyújtott hitel és kölcsön alakulása lejárat és eszközök szerinti bontásban</t>
  </si>
  <si>
    <t>Forintban</t>
  </si>
  <si>
    <t>Jogcím</t>
  </si>
  <si>
    <t>Módisított támogatás összege</t>
  </si>
  <si>
    <t>Tényleges támogatás összege</t>
  </si>
  <si>
    <t>Költségvetési szerv neve</t>
  </si>
  <si>
    <t>Költségvetési maradvány összege</t>
  </si>
  <si>
    <t>Elvonás
(-)</t>
  </si>
  <si>
    <t>Intézményt megillető maradvány</t>
  </si>
  <si>
    <t>Jóváhagyott</t>
  </si>
  <si>
    <t>Jóváhagyott-ból működési</t>
  </si>
  <si>
    <t>Jóváhagyott-ból felhalmozási</t>
  </si>
  <si>
    <r>
      <t>E=(C</t>
    </r>
    <r>
      <rPr>
        <b/>
        <sz val="8"/>
        <rFont val="Arial"/>
        <family val="2"/>
        <charset val="238"/>
      </rPr>
      <t>-D</t>
    </r>
    <r>
      <rPr>
        <b/>
        <sz val="8"/>
        <rFont val="Times New Roman CE"/>
        <family val="1"/>
        <charset val="238"/>
      </rPr>
      <t>)</t>
    </r>
  </si>
  <si>
    <t>KÖLTSÉGVETÉSI SZERVEK MARADVÁNYÁNAK ALAKULÁSA</t>
  </si>
  <si>
    <t>7. melléklet</t>
  </si>
  <si>
    <t>8. melléklet</t>
  </si>
  <si>
    <t>. évi</t>
  </si>
  <si>
    <t>Forintban!</t>
  </si>
  <si>
    <t>KÖTELEZŐ FELADATOK PÉNZÜGYI MÉRLEGE</t>
  </si>
  <si>
    <t>ÖNKÉNT VÁLLALT FELADATOK PÉNZÜGYI MÉRLEGE</t>
  </si>
  <si>
    <t>ÁLLAMIGAZGATÁSI FELADATOK PÉNZÜGYI MÉRLEGE</t>
  </si>
  <si>
    <t xml:space="preserve">Hiány külső finanszírozásának bevételei (21.+…+23.) </t>
  </si>
  <si>
    <t>Hiány belső finanszírozásának bevételei (15.+…+19. )</t>
  </si>
  <si>
    <t>Működési célú finanszírozási kiadások összesen (13.+...+23.)</t>
  </si>
  <si>
    <t>Működési célú finanszírozási bevételek összesen (14.+20.)</t>
  </si>
  <si>
    <t>Telekadó</t>
  </si>
  <si>
    <t>Kommunális adó</t>
  </si>
  <si>
    <t>Mellékletben külön?</t>
  </si>
  <si>
    <t>.</t>
  </si>
  <si>
    <t xml:space="preserve">bevételei, kiadásai, hozzájárulások  </t>
  </si>
  <si>
    <t>Évenkénti ütemezés</t>
  </si>
  <si>
    <t>EU-s projekt neve, azonosítója:</t>
  </si>
  <si>
    <t>Igen</t>
  </si>
  <si>
    <t>I=C+F</t>
  </si>
  <si>
    <t>B=C+E+H</t>
  </si>
  <si>
    <t>Módosítás utáni összes forrás, kiadás</t>
  </si>
  <si>
    <t>Összes
 tartozás</t>
  </si>
  <si>
    <t xml:space="preserve">Idegenforgalmi adó </t>
  </si>
  <si>
    <t>Idegenforgalmi adó</t>
  </si>
  <si>
    <t xml:space="preserve">Talajterhelési díj </t>
  </si>
  <si>
    <t>Rövid lejáratú  hitelek, kölcsönök felvétele</t>
  </si>
  <si>
    <t>Felhalmozási költségvetés kiadásai (2.1.+2.3.+2.5.)</t>
  </si>
  <si>
    <t>Belföldi értékpapírok kiadásai (5.1. + … + 5.4.)</t>
  </si>
  <si>
    <t>Külföldi finanszírozás kiadásai (7.1. + … + 7.4.)</t>
  </si>
  <si>
    <t>7.5</t>
  </si>
  <si>
    <t>* Magyarország 2021. évi központi költségvetéséról szóló törvény</t>
  </si>
  <si>
    <t>Sajószöged Községi Önkormányzat</t>
  </si>
  <si>
    <t>Sajószögedi Általános Művelődési Központ - Család és Gyermekjóléti Szolgálat - Konyha - Művelődési Ház és Könyvtár</t>
  </si>
  <si>
    <t>Sajószögedi Zöld Sziget Bölcsőde</t>
  </si>
  <si>
    <t>Sajószögedi Polgármesteri Hivatal</t>
  </si>
  <si>
    <t>Sajószögedi Zöld Sziget Bölcsőde épületüveg fóliázás</t>
  </si>
  <si>
    <t>2021</t>
  </si>
  <si>
    <t>Térfigyelő kamerarendszer beüzemelése</t>
  </si>
  <si>
    <t>Művelődési ház űj mérőhely kialakítása</t>
  </si>
  <si>
    <t>TOP 1.4.1-15-BO1-2016-00080 Óvoda és konyha fejlesztése</t>
  </si>
  <si>
    <t>Fekvőrendőr kiépítése (Széchenyi és Táncsics út)</t>
  </si>
  <si>
    <t>Konyhatechnológiai eszközök (napközi)</t>
  </si>
  <si>
    <t>TOP 3.2.1-16-BO1-2017-00055 Iskola energetikai korszerűsítése</t>
  </si>
  <si>
    <t>2020-2022</t>
  </si>
  <si>
    <t>Napkközi felújítás</t>
  </si>
  <si>
    <t>TOP 3.2.1-16-BO1-2020-00163 Önkormányzati épületek energetikai korszerűsítése</t>
  </si>
  <si>
    <t>2021-2022</t>
  </si>
  <si>
    <t xml:space="preserve">"Községháza energetikai felújítása Sajószögeden" c. projekt </t>
  </si>
  <si>
    <t>Egyéb tárgyi eszközök beszerzése PH</t>
  </si>
  <si>
    <t>Egyéb tárgyi eszközök beszerzése</t>
  </si>
  <si>
    <t>Egyéb tárgyi eszközök beszerzése ÁMK</t>
  </si>
  <si>
    <t>Egyéb immateriális eszközök beszerzése ÁMK</t>
  </si>
  <si>
    <t xml:space="preserve">Egyéb immateriális eszközök beszerzése </t>
  </si>
  <si>
    <t>Egyéb tárgyi eszközök beszerzése Bölcsőde</t>
  </si>
  <si>
    <t>2014-2022</t>
  </si>
  <si>
    <t>Okos zebra (Vasút út/Bem út)</t>
  </si>
  <si>
    <t>Egyéb közhatalmi bevételek</t>
  </si>
  <si>
    <t>Államháztartáson belüli megelőlegezés</t>
  </si>
  <si>
    <t>Egyéb kölcsön elengedése (Első lakáshoz jutók)</t>
  </si>
  <si>
    <t>Nemleges!</t>
  </si>
  <si>
    <t>Sajószöged Önkormányzat Községüzemeltetési Kft.</t>
  </si>
  <si>
    <t>EHEP NYRT</t>
  </si>
  <si>
    <t>Borsod Vízmű ZRt.</t>
  </si>
  <si>
    <t>REGIHU-Hejőpapi Kft.</t>
  </si>
  <si>
    <t>OTP Tőkeggarantált befektetési jegy</t>
  </si>
  <si>
    <t>munkavállaló</t>
  </si>
  <si>
    <t>első lakáshoz jutók támogatása</t>
  </si>
  <si>
    <t>munkáltatói hitel</t>
  </si>
  <si>
    <t>támogatott</t>
  </si>
  <si>
    <t>Kölcsön típusa</t>
  </si>
  <si>
    <t>ELMIB Zrt. (Közvill)</t>
  </si>
  <si>
    <t>Rendelőintézet Tiszaúváros</t>
  </si>
  <si>
    <t>Fogászati hozzájárulás</t>
  </si>
  <si>
    <t>Ügyeleti hozzájárulás</t>
  </si>
  <si>
    <t>Tiszaújvárosi Humánszolgáltató Központ</t>
  </si>
  <si>
    <t>Jelzőrendszeres HSNY műk.</t>
  </si>
  <si>
    <t>TISZA-FILOXIS</t>
  </si>
  <si>
    <t>Otthoni betegellátás</t>
  </si>
  <si>
    <t>Emberi Erőforrás Támogatáskezelő</t>
  </si>
  <si>
    <t>Bursa Hungarica támogatás</t>
  </si>
  <si>
    <t>Sajószöged Községüzemeltetési Kft</t>
  </si>
  <si>
    <t>Működési támogatás</t>
  </si>
  <si>
    <t>Sajószöged Községi Testedző Kör</t>
  </si>
  <si>
    <t>Polgárőr Egyesület Sajószöged</t>
  </si>
  <si>
    <t>Sziványvány Nyugdíjas Klub</t>
  </si>
  <si>
    <t>Fürge Ujjak Kézimunka Klub</t>
  </si>
  <si>
    <t>Búzavirág Népdalkör</t>
  </si>
  <si>
    <t>Országos Egyesület a Mosolyért</t>
  </si>
  <si>
    <t>Adomány</t>
  </si>
  <si>
    <t>Medicopter Alapítvány</t>
  </si>
  <si>
    <t>Regőczi István Alapítvány a Koronavírus Árváiért</t>
  </si>
  <si>
    <t>Apránként az Aprókért Közh.Egyesület</t>
  </si>
  <si>
    <t>A települési önkormányzatok működésének általános támogatása</t>
  </si>
  <si>
    <t>A települési önkormányzatok egyes köznevelési feladatainak támogatása</t>
  </si>
  <si>
    <t>A települési önkormányzatok szociális és gyermekjóléti feladatainak támogatása</t>
  </si>
  <si>
    <t>A települési önkormányzatok gyermekétkeztetési feladatainak támogatása</t>
  </si>
  <si>
    <t>A települési önkormányzatok kulturális feladatainak támogatása</t>
  </si>
  <si>
    <t>42.5.5.</t>
  </si>
  <si>
    <t>Önkormányzati szolidaritási hozzájárulás</t>
  </si>
  <si>
    <r>
      <t>2020. évi XC.
törvény 2.  melléklete száma</t>
    </r>
    <r>
      <rPr>
        <b/>
        <sz val="9"/>
        <rFont val="Symbol"/>
        <family val="1"/>
        <charset val="2"/>
      </rPr>
      <t>*</t>
    </r>
  </si>
  <si>
    <t>TOP 1.4.1-15-BO1-2016-00080 Óvoda és Konyha fejlesztése Sajószögeden</t>
  </si>
  <si>
    <t>Fordított ÁFA</t>
  </si>
  <si>
    <t>Előleg</t>
  </si>
  <si>
    <t>5. melléklet a … / 2022. ( … 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</si>
</sst>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5" formatCode="_-* #,##0.00\ _F_t_-;\-* #,##0.00\ _F_t_-;_-* &quot;-&quot;??\ _F_t_-;_-@_-"/>
    <numFmt numFmtId="166" formatCode="#,###"/>
    <numFmt numFmtId="167" formatCode="#"/>
    <numFmt numFmtId="168" formatCode="_-* #,##0\ _F_t_-;\-* #,##0\ _F_t_-;_-* &quot;-&quot;??\ _F_t_-;_-@_-"/>
    <numFmt numFmtId="175" formatCode="#,##0.0"/>
    <numFmt numFmtId="176" formatCode="00"/>
    <numFmt numFmtId="177" formatCode="#,###__;\-#,###__"/>
    <numFmt numFmtId="178" formatCode="#,###\ _F_t;\-#,###\ _F_t"/>
    <numFmt numFmtId="179" formatCode="#,###__"/>
  </numFmts>
  <fonts count="83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1"/>
      <name val="Times New Roman CE"/>
      <charset val="238"/>
    </font>
    <font>
      <i/>
      <sz val="11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6"/>
      <name val="Times New Roman CE"/>
      <family val="1"/>
      <charset val="238"/>
    </font>
    <font>
      <b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sz val="7"/>
      <name val="Times New Roman"/>
      <family val="1"/>
    </font>
    <font>
      <i/>
      <sz val="8"/>
      <name val="Times New Roman"/>
      <family val="1"/>
      <charset val="238"/>
    </font>
    <font>
      <b/>
      <i/>
      <sz val="7"/>
      <name val="Times New Roman"/>
      <family val="1"/>
    </font>
    <font>
      <sz val="7"/>
      <name val="Times New Roman"/>
      <family val="1"/>
    </font>
    <font>
      <b/>
      <sz val="12"/>
      <color indexed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8"/>
      <name val="Times New Roman CE"/>
      <family val="1"/>
      <charset val="238"/>
    </font>
    <font>
      <sz val="10"/>
      <name val="Wingdings"/>
      <charset val="2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0"/>
      <name val="Times New Roman CE"/>
      <charset val="238"/>
    </font>
    <font>
      <b/>
      <sz val="8"/>
      <name val="Arial"/>
      <family val="2"/>
      <charset val="238"/>
    </font>
    <font>
      <b/>
      <sz val="5"/>
      <name val="Times New Roman CE"/>
      <family val="1"/>
      <charset val="238"/>
    </font>
    <font>
      <b/>
      <i/>
      <sz val="8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MS Sans Serif"/>
      <charset val="238"/>
    </font>
    <font>
      <b/>
      <sz val="10"/>
      <name val="Arial"/>
      <family val="2"/>
      <charset val="238"/>
    </font>
    <font>
      <b/>
      <sz val="9"/>
      <name val="Symbol"/>
      <family val="1"/>
      <charset val="2"/>
    </font>
    <font>
      <b/>
      <sz val="9"/>
      <name val="Times New Roman"/>
      <family val="1"/>
    </font>
    <font>
      <sz val="9"/>
      <name val="Times New Roman"/>
      <family val="1"/>
      <charset val="238"/>
    </font>
    <font>
      <sz val="11"/>
      <color rgb="FF000000"/>
      <name val="Calibri"/>
      <family val="2"/>
      <charset val="238"/>
    </font>
    <font>
      <u/>
      <sz val="10"/>
      <color theme="10"/>
      <name val="Times New Roman CE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FF0000"/>
      <name val="Times New Roman CE"/>
      <charset val="238"/>
    </font>
    <font>
      <sz val="12"/>
      <color rgb="FFFF0000"/>
      <name val="Times New Roman CE"/>
      <charset val="238"/>
    </font>
    <font>
      <sz val="10"/>
      <color theme="0"/>
      <name val="Times New Roman CE"/>
      <charset val="238"/>
    </font>
    <font>
      <b/>
      <sz val="14"/>
      <color rgb="FF000000"/>
      <name val="Times New Roman"/>
      <family val="1"/>
      <charset val="238"/>
    </font>
    <font>
      <b/>
      <sz val="14"/>
      <color rgb="FFFF0000"/>
      <name val="Times New Roman CE"/>
      <charset val="238"/>
    </font>
  </fonts>
  <fills count="8">
    <fill>
      <patternFill patternType="none"/>
    </fill>
    <fill>
      <patternFill patternType="gray125"/>
    </fill>
    <fill>
      <patternFill patternType="lightHorizontal"/>
    </fill>
    <fill>
      <patternFill patternType="solid">
        <fgColor indexed="65"/>
        <bgColor indexed="64"/>
      </patternFill>
    </fill>
    <fill>
      <patternFill patternType="gray125">
        <bgColor indexed="47"/>
      </patternFill>
    </fill>
    <fill>
      <patternFill patternType="solid">
        <fgColor indexed="51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rgb="FFFFC000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ck">
        <color indexed="17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006600"/>
      </left>
      <right style="thick">
        <color rgb="FF006600"/>
      </right>
      <top style="thick">
        <color rgb="FF006600"/>
      </top>
      <bottom style="thick">
        <color rgb="FF006600"/>
      </bottom>
      <diagonal/>
    </border>
  </borders>
  <cellStyleXfs count="27">
    <xf numFmtId="0" fontId="0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68" fillId="0" borderId="0" applyFill="0" applyBorder="0" applyAlignment="0" applyProtection="0"/>
    <xf numFmtId="165" fontId="1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69" fillId="0" borderId="0"/>
    <xf numFmtId="0" fontId="67" fillId="0" borderId="0"/>
    <xf numFmtId="0" fontId="68" fillId="0" borderId="0"/>
    <xf numFmtId="0" fontId="74" fillId="0" borderId="0"/>
    <xf numFmtId="0" fontId="10" fillId="0" borderId="0"/>
    <xf numFmtId="0" fontId="14" fillId="0" borderId="0"/>
    <xf numFmtId="0" fontId="37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003">
    <xf numFmtId="0" fontId="0" fillId="0" borderId="0" xfId="0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22" applyFont="1" applyFill="1" applyBorder="1" applyAlignment="1" applyProtection="1">
      <alignment horizontal="center" vertical="center" wrapText="1"/>
    </xf>
    <xf numFmtId="0" fontId="6" fillId="0" borderId="0" xfId="22" applyFont="1" applyFill="1" applyBorder="1" applyAlignment="1" applyProtection="1">
      <alignment vertical="center" wrapText="1"/>
    </xf>
    <xf numFmtId="0" fontId="17" fillId="0" borderId="1" xfId="22" applyFont="1" applyFill="1" applyBorder="1" applyAlignment="1" applyProtection="1">
      <alignment horizontal="left" vertical="center" wrapText="1" indent="1"/>
    </xf>
    <xf numFmtId="0" fontId="17" fillId="0" borderId="2" xfId="22" applyFont="1" applyFill="1" applyBorder="1" applyAlignment="1" applyProtection="1">
      <alignment horizontal="left" vertical="center" wrapText="1" indent="1"/>
    </xf>
    <xf numFmtId="0" fontId="17" fillId="0" borderId="3" xfId="22" applyFont="1" applyFill="1" applyBorder="1" applyAlignment="1" applyProtection="1">
      <alignment horizontal="left" vertical="center" wrapText="1" indent="1"/>
    </xf>
    <xf numFmtId="0" fontId="17" fillId="0" borderId="4" xfId="22" applyFont="1" applyFill="1" applyBorder="1" applyAlignment="1" applyProtection="1">
      <alignment horizontal="left" vertical="center" wrapText="1" indent="1"/>
    </xf>
    <xf numFmtId="0" fontId="17" fillId="0" borderId="5" xfId="22" applyFont="1" applyFill="1" applyBorder="1" applyAlignment="1" applyProtection="1">
      <alignment horizontal="left" vertical="center" wrapText="1" indent="1"/>
    </xf>
    <xf numFmtId="0" fontId="17" fillId="0" borderId="6" xfId="22" applyFont="1" applyFill="1" applyBorder="1" applyAlignment="1" applyProtection="1">
      <alignment horizontal="left" vertical="center" wrapText="1" indent="1"/>
    </xf>
    <xf numFmtId="49" fontId="17" fillId="0" borderId="7" xfId="22" applyNumberFormat="1" applyFont="1" applyFill="1" applyBorder="1" applyAlignment="1" applyProtection="1">
      <alignment horizontal="left" vertical="center" wrapText="1" indent="1"/>
    </xf>
    <xf numFmtId="49" fontId="17" fillId="0" borderId="8" xfId="22" applyNumberFormat="1" applyFont="1" applyFill="1" applyBorder="1" applyAlignment="1" applyProtection="1">
      <alignment horizontal="left" vertical="center" wrapText="1" indent="1"/>
    </xf>
    <xf numFmtId="49" fontId="17" fillId="0" borderId="9" xfId="22" applyNumberFormat="1" applyFont="1" applyFill="1" applyBorder="1" applyAlignment="1" applyProtection="1">
      <alignment horizontal="left" vertical="center" wrapText="1" indent="1"/>
    </xf>
    <xf numFmtId="49" fontId="17" fillId="0" borderId="10" xfId="22" applyNumberFormat="1" applyFont="1" applyFill="1" applyBorder="1" applyAlignment="1" applyProtection="1">
      <alignment horizontal="left" vertical="center" wrapText="1" indent="1"/>
    </xf>
    <xf numFmtId="49" fontId="17" fillId="0" borderId="11" xfId="22" applyNumberFormat="1" applyFont="1" applyFill="1" applyBorder="1" applyAlignment="1" applyProtection="1">
      <alignment horizontal="left" vertical="center" wrapText="1" indent="1"/>
    </xf>
    <xf numFmtId="49" fontId="17" fillId="0" borderId="12" xfId="22" applyNumberFormat="1" applyFont="1" applyFill="1" applyBorder="1" applyAlignment="1" applyProtection="1">
      <alignment horizontal="left" vertical="center" wrapText="1" indent="1"/>
    </xf>
    <xf numFmtId="0" fontId="17" fillId="0" borderId="0" xfId="22" applyFont="1" applyFill="1" applyBorder="1" applyAlignment="1" applyProtection="1">
      <alignment horizontal="left" vertical="center" wrapText="1" indent="1"/>
    </xf>
    <xf numFmtId="0" fontId="16" fillId="0" borderId="13" xfId="22" applyFont="1" applyFill="1" applyBorder="1" applyAlignment="1" applyProtection="1">
      <alignment horizontal="left" vertical="center" wrapText="1" indent="1"/>
    </xf>
    <xf numFmtId="0" fontId="16" fillId="0" borderId="14" xfId="22" applyFont="1" applyFill="1" applyBorder="1" applyAlignment="1" applyProtection="1">
      <alignment horizontal="left" vertical="center" wrapText="1" indent="1"/>
    </xf>
    <xf numFmtId="0" fontId="16" fillId="0" borderId="15" xfId="22" applyFont="1" applyFill="1" applyBorder="1" applyAlignment="1" applyProtection="1">
      <alignment horizontal="left" vertical="center" wrapText="1" indent="1"/>
    </xf>
    <xf numFmtId="166" fontId="17" fillId="0" borderId="2" xfId="0" applyNumberFormat="1" applyFont="1" applyFill="1" applyBorder="1" applyAlignment="1" applyProtection="1">
      <alignment vertical="center" wrapText="1"/>
      <protection locked="0"/>
    </xf>
    <xf numFmtId="166" fontId="17" fillId="0" borderId="6" xfId="0" applyNumberFormat="1" applyFont="1" applyFill="1" applyBorder="1" applyAlignment="1" applyProtection="1">
      <alignment vertical="center" wrapText="1"/>
      <protection locked="0"/>
    </xf>
    <xf numFmtId="0" fontId="16" fillId="0" borderId="14" xfId="22" applyFont="1" applyFill="1" applyBorder="1" applyAlignment="1" applyProtection="1">
      <alignment vertical="center" wrapText="1"/>
    </xf>
    <xf numFmtId="0" fontId="16" fillId="0" borderId="16" xfId="22" applyFont="1" applyFill="1" applyBorder="1" applyAlignment="1" applyProtection="1">
      <alignment vertical="center" wrapText="1"/>
    </xf>
    <xf numFmtId="0" fontId="16" fillId="0" borderId="13" xfId="22" applyFont="1" applyFill="1" applyBorder="1" applyAlignment="1" applyProtection="1">
      <alignment horizontal="center" vertical="center" wrapText="1"/>
    </xf>
    <xf numFmtId="0" fontId="16" fillId="0" borderId="14" xfId="22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7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166" fontId="0" fillId="0" borderId="0" xfId="0" applyNumberFormat="1" applyFill="1" applyAlignment="1" applyProtection="1">
      <alignment vertical="center" wrapText="1"/>
    </xf>
    <xf numFmtId="166" fontId="17" fillId="0" borderId="17" xfId="0" applyNumberFormat="1" applyFont="1" applyFill="1" applyBorder="1" applyAlignment="1" applyProtection="1">
      <alignment vertical="center" wrapText="1"/>
    </xf>
    <xf numFmtId="166" fontId="17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18" xfId="0" applyNumberFormat="1" applyFont="1" applyFill="1" applyBorder="1" applyAlignment="1" applyProtection="1">
      <alignment vertical="center" wrapText="1"/>
    </xf>
    <xf numFmtId="166" fontId="16" fillId="0" borderId="14" xfId="0" applyNumberFormat="1" applyFont="1" applyFill="1" applyBorder="1" applyAlignment="1" applyProtection="1">
      <alignment vertical="center" wrapText="1"/>
    </xf>
    <xf numFmtId="166" fontId="16" fillId="0" borderId="19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5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5" fillId="0" borderId="2" xfId="0" applyNumberFormat="1" applyFont="1" applyFill="1" applyBorder="1" applyAlignment="1" applyProtection="1">
      <alignment vertical="center" wrapText="1"/>
      <protection locked="0"/>
    </xf>
    <xf numFmtId="166" fontId="15" fillId="0" borderId="17" xfId="0" applyNumberFormat="1" applyFont="1" applyFill="1" applyBorder="1" applyAlignment="1" applyProtection="1">
      <alignment vertical="center" wrapText="1"/>
    </xf>
    <xf numFmtId="166" fontId="15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5" fillId="0" borderId="6" xfId="0" applyNumberFormat="1" applyFont="1" applyFill="1" applyBorder="1" applyAlignment="1" applyProtection="1">
      <alignment vertical="center" wrapText="1"/>
      <protection locked="0"/>
    </xf>
    <xf numFmtId="166" fontId="15" fillId="0" borderId="18" xfId="0" applyNumberFormat="1" applyFont="1" applyFill="1" applyBorder="1" applyAlignment="1" applyProtection="1">
      <alignment vertical="center" wrapText="1"/>
    </xf>
    <xf numFmtId="166" fontId="7" fillId="0" borderId="19" xfId="0" applyNumberFormat="1" applyFont="1" applyFill="1" applyBorder="1" applyAlignment="1" applyProtection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24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6" fontId="16" fillId="2" borderId="14" xfId="0" applyNumberFormat="1" applyFont="1" applyFill="1" applyBorder="1" applyAlignment="1" applyProtection="1">
      <alignment vertical="center" wrapText="1"/>
    </xf>
    <xf numFmtId="166" fontId="7" fillId="2" borderId="14" xfId="0" applyNumberFormat="1" applyFont="1" applyFill="1" applyBorder="1" applyAlignment="1" applyProtection="1">
      <alignment vertical="center" wrapText="1"/>
    </xf>
    <xf numFmtId="166" fontId="17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14" xfId="22" applyFont="1" applyFill="1" applyBorder="1" applyAlignment="1" applyProtection="1">
      <alignment horizontal="left" vertical="center" wrapText="1" indent="1"/>
    </xf>
    <xf numFmtId="166" fontId="23" fillId="0" borderId="13" xfId="0" applyNumberFormat="1" applyFont="1" applyFill="1" applyBorder="1" applyAlignment="1" applyProtection="1">
      <alignment horizontal="left" vertical="center" wrapText="1" indent="1"/>
    </xf>
    <xf numFmtId="166" fontId="2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22" xfId="0" applyFont="1" applyFill="1" applyBorder="1" applyAlignment="1" applyProtection="1">
      <alignment horizontal="right"/>
    </xf>
    <xf numFmtId="0" fontId="24" fillId="0" borderId="23" xfId="22" applyFont="1" applyFill="1" applyBorder="1" applyAlignment="1" applyProtection="1">
      <alignment horizontal="left" vertical="center" wrapText="1" indent="1"/>
    </xf>
    <xf numFmtId="0" fontId="17" fillId="0" borderId="2" xfId="22" applyFont="1" applyFill="1" applyBorder="1" applyAlignment="1" applyProtection="1">
      <alignment horizontal="left" indent="6"/>
    </xf>
    <xf numFmtId="0" fontId="17" fillId="0" borderId="2" xfId="22" applyFont="1" applyFill="1" applyBorder="1" applyAlignment="1" applyProtection="1">
      <alignment horizontal="left" vertical="center" wrapText="1" indent="6"/>
    </xf>
    <xf numFmtId="0" fontId="17" fillId="0" borderId="6" xfId="22" applyFont="1" applyFill="1" applyBorder="1" applyAlignment="1" applyProtection="1">
      <alignment horizontal="left" vertical="center" wrapText="1" indent="6"/>
    </xf>
    <xf numFmtId="0" fontId="17" fillId="0" borderId="20" xfId="22" applyFont="1" applyFill="1" applyBorder="1" applyAlignment="1" applyProtection="1">
      <alignment horizontal="left" vertical="center" wrapText="1" indent="6"/>
    </xf>
    <xf numFmtId="0" fontId="35" fillId="0" borderId="0" xfId="0" applyFont="1"/>
    <xf numFmtId="0" fontId="0" fillId="0" borderId="0" xfId="0" applyFill="1" applyProtection="1">
      <protection locked="0"/>
    </xf>
    <xf numFmtId="166" fontId="24" fillId="0" borderId="2" xfId="0" applyNumberFormat="1" applyFont="1" applyFill="1" applyBorder="1" applyAlignment="1" applyProtection="1">
      <alignment vertical="center"/>
      <protection locked="0"/>
    </xf>
    <xf numFmtId="166" fontId="2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left" vertical="center" wrapText="1"/>
    </xf>
    <xf numFmtId="166" fontId="7" fillId="0" borderId="14" xfId="0" applyNumberFormat="1" applyFont="1" applyFill="1" applyBorder="1" applyAlignment="1" applyProtection="1">
      <alignment vertical="center" wrapText="1"/>
    </xf>
    <xf numFmtId="0" fontId="16" fillId="0" borderId="13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center" vertical="center" wrapText="1"/>
    </xf>
    <xf numFmtId="0" fontId="16" fillId="0" borderId="19" xfId="0" applyFont="1" applyFill="1" applyBorder="1" applyAlignment="1" applyProtection="1">
      <alignment horizontal="center" vertical="center" wrapText="1"/>
    </xf>
    <xf numFmtId="0" fontId="24" fillId="0" borderId="2" xfId="0" applyFont="1" applyFill="1" applyBorder="1" applyAlignment="1" applyProtection="1">
      <alignment vertical="center" wrapText="1"/>
    </xf>
    <xf numFmtId="0" fontId="23" fillId="0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Fill="1" applyProtection="1"/>
    <xf numFmtId="0" fontId="18" fillId="0" borderId="0" xfId="0" applyFont="1" applyFill="1" applyProtection="1"/>
    <xf numFmtId="166" fontId="3" fillId="0" borderId="0" xfId="0" applyNumberFormat="1" applyFont="1" applyFill="1" applyAlignment="1" applyProtection="1">
      <alignment vertical="center" wrapText="1"/>
    </xf>
    <xf numFmtId="0" fontId="23" fillId="0" borderId="14" xfId="0" applyFont="1" applyFill="1" applyBorder="1" applyAlignment="1" applyProtection="1">
      <alignment horizontal="left" vertical="center" wrapText="1" indent="1"/>
    </xf>
    <xf numFmtId="0" fontId="22" fillId="0" borderId="13" xfId="0" applyFont="1" applyBorder="1" applyAlignment="1" applyProtection="1">
      <alignment horizontal="center" vertical="center" wrapText="1"/>
    </xf>
    <xf numFmtId="0" fontId="32" fillId="0" borderId="24" xfId="0" applyFont="1" applyBorder="1" applyAlignment="1" applyProtection="1">
      <alignment horizontal="left" wrapText="1" indent="1"/>
    </xf>
    <xf numFmtId="0" fontId="1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7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24" fillId="0" borderId="8" xfId="0" applyFont="1" applyFill="1" applyBorder="1" applyAlignment="1" applyProtection="1">
      <alignment horizontal="center" vertical="center"/>
    </xf>
    <xf numFmtId="166" fontId="23" fillId="0" borderId="17" xfId="0" applyNumberFormat="1" applyFont="1" applyFill="1" applyBorder="1" applyAlignment="1" applyProtection="1">
      <alignment vertical="center"/>
    </xf>
    <xf numFmtId="0" fontId="24" fillId="0" borderId="10" xfId="0" applyFont="1" applyFill="1" applyBorder="1" applyAlignment="1" applyProtection="1">
      <alignment horizontal="center" vertical="center"/>
    </xf>
    <xf numFmtId="0" fontId="24" fillId="0" borderId="6" xfId="0" applyFont="1" applyFill="1" applyBorder="1" applyAlignment="1" applyProtection="1">
      <alignment vertical="center" wrapText="1"/>
    </xf>
    <xf numFmtId="166" fontId="23" fillId="0" borderId="14" xfId="0" applyNumberFormat="1" applyFont="1" applyFill="1" applyBorder="1" applyAlignment="1" applyProtection="1">
      <alignment vertical="center"/>
    </xf>
    <xf numFmtId="166" fontId="23" fillId="0" borderId="19" xfId="0" applyNumberFormat="1" applyFont="1" applyFill="1" applyBorder="1" applyAlignment="1" applyProtection="1">
      <alignment vertical="center"/>
    </xf>
    <xf numFmtId="166" fontId="16" fillId="0" borderId="25" xfId="22" applyNumberFormat="1" applyFont="1" applyFill="1" applyBorder="1" applyAlignment="1" applyProtection="1">
      <alignment horizontal="right" vertical="center" wrapText="1" indent="1"/>
    </xf>
    <xf numFmtId="166" fontId="17" fillId="0" borderId="26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7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8" xfId="22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22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8" xfId="22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7" xfId="22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4" xfId="0" applyFont="1" applyBorder="1" applyAlignment="1" applyProtection="1">
      <alignment horizontal="left" vertical="center" wrapText="1" indent="1"/>
    </xf>
    <xf numFmtId="0" fontId="21" fillId="0" borderId="2" xfId="0" applyFont="1" applyBorder="1" applyAlignment="1" applyProtection="1">
      <alignment horizontal="left" vertical="center" wrapText="1" indent="1"/>
    </xf>
    <xf numFmtId="0" fontId="21" fillId="0" borderId="6" xfId="0" applyFont="1" applyBorder="1" applyAlignment="1" applyProtection="1">
      <alignment horizontal="left" vertical="center" wrapText="1" indent="1"/>
    </xf>
    <xf numFmtId="0" fontId="22" fillId="0" borderId="29" xfId="0" applyFont="1" applyBorder="1" applyAlignment="1" applyProtection="1">
      <alignment horizontal="left" vertical="center" wrapText="1" indent="1"/>
    </xf>
    <xf numFmtId="166" fontId="6" fillId="0" borderId="0" xfId="22" applyNumberFormat="1" applyFont="1" applyFill="1" applyBorder="1" applyAlignment="1" applyProtection="1">
      <alignment horizontal="right" vertical="center" wrapText="1" indent="1"/>
    </xf>
    <xf numFmtId="0" fontId="5" fillId="0" borderId="22" xfId="0" applyFont="1" applyFill="1" applyBorder="1" applyAlignment="1" applyProtection="1">
      <alignment horizontal="right" vertical="center"/>
    </xf>
    <xf numFmtId="166" fontId="17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0" applyNumberFormat="1" applyFont="1" applyFill="1" applyBorder="1" applyAlignment="1" applyProtection="1">
      <alignment horizontal="right" vertical="center" wrapText="1" indent="1"/>
    </xf>
    <xf numFmtId="166" fontId="24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9" xfId="0" applyNumberFormat="1" applyFont="1" applyFill="1" applyBorder="1" applyAlignment="1" applyProtection="1">
      <alignment horizontal="right" vertical="center" wrapText="1" inden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3" fillId="0" borderId="0" xfId="0" applyNumberFormat="1" applyFont="1" applyFill="1" applyAlignment="1" applyProtection="1">
      <alignment horizontal="center" vertical="center" wrapText="1"/>
    </xf>
    <xf numFmtId="166" fontId="0" fillId="0" borderId="31" xfId="0" applyNumberFormat="1" applyFill="1" applyBorder="1" applyAlignment="1" applyProtection="1">
      <alignment horizontal="left" vertical="center" wrapText="1" indent="1"/>
    </xf>
    <xf numFmtId="166" fontId="17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32" xfId="0" applyNumberFormat="1" applyFill="1" applyBorder="1" applyAlignment="1" applyProtection="1">
      <alignment horizontal="left" vertical="center" wrapText="1" indent="1"/>
    </xf>
    <xf numFmtId="166" fontId="17" fillId="0" borderId="8" xfId="0" applyNumberFormat="1" applyFont="1" applyFill="1" applyBorder="1" applyAlignment="1" applyProtection="1">
      <alignment horizontal="left" vertical="center" wrapText="1" indent="1"/>
    </xf>
    <xf numFmtId="166" fontId="17" fillId="0" borderId="33" xfId="0" applyNumberFormat="1" applyFont="1" applyFill="1" applyBorder="1" applyAlignment="1" applyProtection="1">
      <alignment horizontal="left" vertical="center" wrapText="1" indent="1"/>
    </xf>
    <xf numFmtId="166" fontId="26" fillId="0" borderId="34" xfId="0" applyNumberFormat="1" applyFont="1" applyFill="1" applyBorder="1" applyAlignment="1" applyProtection="1">
      <alignment horizontal="left" vertical="center" wrapText="1" indent="1"/>
    </xf>
    <xf numFmtId="166" fontId="1" fillId="0" borderId="35" xfId="0" applyNumberFormat="1" applyFont="1" applyFill="1" applyBorder="1" applyAlignment="1" applyProtection="1">
      <alignment horizontal="left" vertical="center" wrapText="1" indent="1"/>
    </xf>
    <xf numFmtId="166" fontId="24" fillId="0" borderId="7" xfId="0" applyNumberFormat="1" applyFont="1" applyFill="1" applyBorder="1" applyAlignment="1" applyProtection="1">
      <alignment horizontal="left" vertical="center" wrapText="1" indent="1"/>
    </xf>
    <xf numFmtId="166" fontId="24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32" xfId="0" applyNumberFormat="1" applyFont="1" applyFill="1" applyBorder="1" applyAlignment="1" applyProtection="1">
      <alignment horizontal="left" vertical="center" wrapText="1" indent="1"/>
    </xf>
    <xf numFmtId="166" fontId="27" fillId="0" borderId="2" xfId="0" applyNumberFormat="1" applyFont="1" applyFill="1" applyBorder="1" applyAlignment="1" applyProtection="1">
      <alignment horizontal="right" vertical="center" wrapText="1" indent="1"/>
    </xf>
    <xf numFmtId="166" fontId="26" fillId="0" borderId="13" xfId="0" applyNumberFormat="1" applyFont="1" applyFill="1" applyBorder="1" applyAlignment="1" applyProtection="1">
      <alignment horizontal="left" vertical="center" wrapText="1" indent="1"/>
    </xf>
    <xf numFmtId="166" fontId="24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27" fillId="0" borderId="7" xfId="0" applyNumberFormat="1" applyFont="1" applyFill="1" applyBorder="1" applyAlignment="1" applyProtection="1">
      <alignment horizontal="left" vertical="center" wrapText="1" indent="1"/>
    </xf>
    <xf numFmtId="166" fontId="24" fillId="0" borderId="8" xfId="0" applyNumberFormat="1" applyFont="1" applyFill="1" applyBorder="1" applyAlignment="1" applyProtection="1">
      <alignment horizontal="left" vertical="center" wrapText="1" indent="2"/>
    </xf>
    <xf numFmtId="166" fontId="24" fillId="0" borderId="2" xfId="0" applyNumberFormat="1" applyFont="1" applyFill="1" applyBorder="1" applyAlignment="1" applyProtection="1">
      <alignment horizontal="left" vertical="center" wrapText="1" indent="2"/>
    </xf>
    <xf numFmtId="166" fontId="27" fillId="0" borderId="2" xfId="0" applyNumberFormat="1" applyFont="1" applyFill="1" applyBorder="1" applyAlignment="1" applyProtection="1">
      <alignment horizontal="left" vertical="center" wrapText="1" indent="1"/>
    </xf>
    <xf numFmtId="166" fontId="24" fillId="0" borderId="9" xfId="0" applyNumberFormat="1" applyFont="1" applyFill="1" applyBorder="1" applyAlignment="1" applyProtection="1">
      <alignment horizontal="left" vertical="center" wrapText="1" indent="1"/>
    </xf>
    <xf numFmtId="166" fontId="17" fillId="0" borderId="9" xfId="0" applyNumberFormat="1" applyFont="1" applyFill="1" applyBorder="1" applyAlignment="1" applyProtection="1">
      <alignment horizontal="left" vertical="center" wrapText="1" indent="2"/>
    </xf>
    <xf numFmtId="166" fontId="17" fillId="0" borderId="10" xfId="0" applyNumberFormat="1" applyFont="1" applyFill="1" applyBorder="1" applyAlignment="1" applyProtection="1">
      <alignment horizontal="left" vertical="center" wrapText="1" indent="2"/>
    </xf>
    <xf numFmtId="166" fontId="27" fillId="0" borderId="3" xfId="0" applyNumberFormat="1" applyFont="1" applyFill="1" applyBorder="1" applyAlignment="1" applyProtection="1">
      <alignment horizontal="right" vertical="center" wrapText="1" indent="1"/>
    </xf>
    <xf numFmtId="166" fontId="17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5" xfId="0" applyNumberFormat="1" applyFont="1" applyFill="1" applyBorder="1" applyAlignment="1" applyProtection="1">
      <alignment horizontal="right" vertical="center" wrapText="1" indent="1"/>
    </xf>
    <xf numFmtId="166" fontId="16" fillId="0" borderId="0" xfId="0" applyNumberFormat="1" applyFont="1" applyFill="1" applyBorder="1" applyAlignment="1" applyProtection="1">
      <alignment horizontal="right" vertical="center" wrapText="1" indent="1"/>
    </xf>
    <xf numFmtId="0" fontId="17" fillId="0" borderId="0" xfId="0" applyFont="1" applyFill="1" applyAlignment="1" applyProtection="1">
      <alignment horizontal="right" vertical="center" wrapText="1" indent="1"/>
    </xf>
    <xf numFmtId="166" fontId="16" fillId="0" borderId="25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20" fillId="0" borderId="23" xfId="0" applyFont="1" applyBorder="1" applyAlignment="1" applyProtection="1">
      <alignment horizontal="left" vertical="center" wrapText="1" indent="1"/>
    </xf>
    <xf numFmtId="0" fontId="10" fillId="0" borderId="0" xfId="22" applyFont="1" applyFill="1" applyProtection="1"/>
    <xf numFmtId="0" fontId="10" fillId="0" borderId="0" xfId="22" applyFont="1" applyFill="1" applyAlignment="1" applyProtection="1">
      <alignment horizontal="right" vertical="center" indent="1"/>
    </xf>
    <xf numFmtId="0" fontId="36" fillId="0" borderId="0" xfId="0" applyFont="1" applyFill="1" applyAlignment="1" applyProtection="1">
      <alignment horizontal="left" vertical="center" wrapText="1"/>
    </xf>
    <xf numFmtId="0" fontId="36" fillId="0" borderId="0" xfId="0" applyFont="1" applyFill="1" applyAlignment="1" applyProtection="1">
      <alignment vertical="center" wrapText="1"/>
    </xf>
    <xf numFmtId="0" fontId="36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6" fontId="0" fillId="0" borderId="35" xfId="0" applyNumberFormat="1" applyFill="1" applyBorder="1" applyAlignment="1" applyProtection="1">
      <alignment horizontal="left" vertical="center" wrapText="1" indent="1"/>
    </xf>
    <xf numFmtId="166" fontId="17" fillId="0" borderId="7" xfId="0" applyNumberFormat="1" applyFont="1" applyFill="1" applyBorder="1" applyAlignment="1" applyProtection="1">
      <alignment horizontal="left" vertical="center" wrapText="1" indent="1"/>
    </xf>
    <xf numFmtId="166" fontId="17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16" xfId="22" applyNumberFormat="1" applyFont="1" applyFill="1" applyBorder="1" applyAlignment="1" applyProtection="1">
      <alignment horizontal="right" vertical="center" wrapText="1" indent="1"/>
    </xf>
    <xf numFmtId="166" fontId="16" fillId="0" borderId="14" xfId="22" applyNumberFormat="1" applyFont="1" applyFill="1" applyBorder="1" applyAlignment="1" applyProtection="1">
      <alignment horizontal="right" vertical="center" wrapText="1" indent="1"/>
    </xf>
    <xf numFmtId="166" fontId="17" fillId="0" borderId="2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3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6" xfId="22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" xfId="22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6" xfId="22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22" applyNumberFormat="1" applyFont="1" applyFill="1" applyBorder="1" applyAlignment="1" applyProtection="1">
      <alignment horizontal="right" vertical="center" wrapText="1" indent="1"/>
    </xf>
    <xf numFmtId="0" fontId="16" fillId="0" borderId="15" xfId="22" applyFont="1" applyFill="1" applyBorder="1" applyAlignment="1" applyProtection="1">
      <alignment horizontal="center" vertical="center" wrapText="1"/>
    </xf>
    <xf numFmtId="0" fontId="16" fillId="0" borderId="16" xfId="22" applyFont="1" applyFill="1" applyBorder="1" applyAlignment="1" applyProtection="1">
      <alignment horizontal="center" vertical="center" wrapText="1"/>
    </xf>
    <xf numFmtId="0" fontId="17" fillId="0" borderId="3" xfId="22" applyFont="1" applyFill="1" applyBorder="1" applyAlignment="1" applyProtection="1">
      <alignment horizontal="left" vertical="center" wrapText="1" indent="6"/>
    </xf>
    <xf numFmtId="0" fontId="10" fillId="0" borderId="0" xfId="22" applyFill="1" applyProtection="1"/>
    <xf numFmtId="0" fontId="17" fillId="0" borderId="0" xfId="22" applyFont="1" applyFill="1" applyProtection="1"/>
    <xf numFmtId="0" fontId="13" fillId="0" borderId="0" xfId="22" applyFont="1" applyFill="1" applyProtection="1"/>
    <xf numFmtId="0" fontId="21" fillId="0" borderId="3" xfId="0" applyFont="1" applyBorder="1" applyAlignment="1" applyProtection="1">
      <alignment horizontal="left" wrapText="1" indent="1"/>
    </xf>
    <xf numFmtId="0" fontId="21" fillId="0" borderId="2" xfId="0" applyFont="1" applyBorder="1" applyAlignment="1" applyProtection="1">
      <alignment horizontal="left" wrapText="1" indent="1"/>
    </xf>
    <xf numFmtId="0" fontId="21" fillId="0" borderId="6" xfId="0" applyFont="1" applyBorder="1" applyAlignment="1" applyProtection="1">
      <alignment horizontal="left" wrapText="1" indent="1"/>
    </xf>
    <xf numFmtId="0" fontId="21" fillId="0" borderId="6" xfId="0" applyFont="1" applyBorder="1" applyAlignment="1" applyProtection="1">
      <alignment wrapText="1"/>
    </xf>
    <xf numFmtId="0" fontId="21" fillId="0" borderId="9" xfId="0" applyFont="1" applyBorder="1" applyAlignment="1" applyProtection="1">
      <alignment wrapText="1"/>
    </xf>
    <xf numFmtId="0" fontId="21" fillId="0" borderId="8" xfId="0" applyFont="1" applyBorder="1" applyAlignment="1" applyProtection="1">
      <alignment wrapText="1"/>
    </xf>
    <xf numFmtId="0" fontId="21" fillId="0" borderId="10" xfId="0" applyFont="1" applyBorder="1" applyAlignment="1" applyProtection="1">
      <alignment wrapText="1"/>
    </xf>
    <xf numFmtId="0" fontId="22" fillId="0" borderId="14" xfId="0" applyFont="1" applyBorder="1" applyAlignment="1" applyProtection="1">
      <alignment wrapText="1"/>
    </xf>
    <xf numFmtId="0" fontId="22" fillId="0" borderId="23" xfId="0" applyFont="1" applyBorder="1" applyAlignment="1" applyProtection="1">
      <alignment wrapText="1"/>
    </xf>
    <xf numFmtId="0" fontId="10" fillId="0" borderId="0" xfId="22" applyFill="1" applyAlignment="1" applyProtection="1"/>
    <xf numFmtId="0" fontId="19" fillId="0" borderId="0" xfId="22" applyFont="1" applyFill="1" applyProtection="1"/>
    <xf numFmtId="0" fontId="18" fillId="0" borderId="0" xfId="22" applyFont="1" applyFill="1" applyProtection="1"/>
    <xf numFmtId="166" fontId="24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7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4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7" fillId="0" borderId="9" xfId="22" applyNumberFormat="1" applyFont="1" applyFill="1" applyBorder="1" applyAlignment="1" applyProtection="1">
      <alignment horizontal="center" vertical="center" wrapText="1"/>
    </xf>
    <xf numFmtId="49" fontId="17" fillId="0" borderId="8" xfId="22" applyNumberFormat="1" applyFont="1" applyFill="1" applyBorder="1" applyAlignment="1" applyProtection="1">
      <alignment horizontal="center" vertical="center" wrapText="1"/>
    </xf>
    <xf numFmtId="49" fontId="17" fillId="0" borderId="10" xfId="22" applyNumberFormat="1" applyFont="1" applyFill="1" applyBorder="1" applyAlignment="1" applyProtection="1">
      <alignment horizontal="center" vertical="center" wrapText="1"/>
    </xf>
    <xf numFmtId="0" fontId="22" fillId="0" borderId="13" xfId="0" applyFont="1" applyBorder="1" applyAlignment="1" applyProtection="1">
      <alignment horizontal="center" wrapText="1"/>
    </xf>
    <xf numFmtId="0" fontId="21" fillId="0" borderId="9" xfId="0" applyFont="1" applyBorder="1" applyAlignment="1" applyProtection="1">
      <alignment horizontal="center" wrapText="1"/>
    </xf>
    <xf numFmtId="0" fontId="21" fillId="0" borderId="8" xfId="0" applyFont="1" applyBorder="1" applyAlignment="1" applyProtection="1">
      <alignment horizontal="center" wrapText="1"/>
    </xf>
    <xf numFmtId="0" fontId="21" fillId="0" borderId="10" xfId="0" applyFont="1" applyBorder="1" applyAlignment="1" applyProtection="1">
      <alignment horizontal="center" wrapText="1"/>
    </xf>
    <xf numFmtId="0" fontId="22" fillId="0" borderId="29" xfId="0" applyFont="1" applyBorder="1" applyAlignment="1" applyProtection="1">
      <alignment horizontal="center" wrapText="1"/>
    </xf>
    <xf numFmtId="49" fontId="17" fillId="0" borderId="11" xfId="22" applyNumberFormat="1" applyFont="1" applyFill="1" applyBorder="1" applyAlignment="1" applyProtection="1">
      <alignment horizontal="center" vertical="center" wrapText="1"/>
    </xf>
    <xf numFmtId="49" fontId="17" fillId="0" borderId="7" xfId="22" applyNumberFormat="1" applyFont="1" applyFill="1" applyBorder="1" applyAlignment="1" applyProtection="1">
      <alignment horizontal="center" vertical="center" wrapText="1"/>
    </xf>
    <xf numFmtId="49" fontId="17" fillId="0" borderId="12" xfId="22" applyNumberFormat="1" applyFont="1" applyFill="1" applyBorder="1" applyAlignment="1" applyProtection="1">
      <alignment horizontal="center" vertical="center" wrapText="1"/>
    </xf>
    <xf numFmtId="0" fontId="22" fillId="0" borderId="29" xfId="0" applyFont="1" applyBorder="1" applyAlignment="1" applyProtection="1">
      <alignment horizontal="center" vertical="center" wrapText="1"/>
    </xf>
    <xf numFmtId="166" fontId="23" fillId="0" borderId="25" xfId="22" applyNumberFormat="1" applyFont="1" applyFill="1" applyBorder="1" applyAlignment="1" applyProtection="1">
      <alignment horizontal="right" vertical="center" wrapText="1" indent="1"/>
    </xf>
    <xf numFmtId="49" fontId="24" fillId="0" borderId="11" xfId="0" applyNumberFormat="1" applyFont="1" applyFill="1" applyBorder="1" applyAlignment="1" applyProtection="1">
      <alignment horizontal="center" vertical="center" wrapText="1"/>
    </xf>
    <xf numFmtId="49" fontId="24" fillId="0" borderId="8" xfId="0" applyNumberFormat="1" applyFont="1" applyFill="1" applyBorder="1" applyAlignment="1" applyProtection="1">
      <alignment horizontal="center" vertical="center" wrapText="1"/>
    </xf>
    <xf numFmtId="49" fontId="24" fillId="0" borderId="9" xfId="0" applyNumberFormat="1" applyFont="1" applyFill="1" applyBorder="1" applyAlignment="1" applyProtection="1">
      <alignment horizontal="center" vertical="center" wrapText="1"/>
    </xf>
    <xf numFmtId="0" fontId="24" fillId="0" borderId="3" xfId="22" applyFont="1" applyFill="1" applyBorder="1" applyAlignment="1" applyProtection="1">
      <alignment horizontal="left" vertical="center" wrapText="1" indent="1"/>
    </xf>
    <xf numFmtId="0" fontId="24" fillId="0" borderId="2" xfId="22" applyFont="1" applyFill="1" applyBorder="1" applyAlignment="1" applyProtection="1">
      <alignment horizontal="left" vertical="center" wrapText="1" indent="1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 wrapText="1"/>
    </xf>
    <xf numFmtId="166" fontId="24" fillId="0" borderId="3" xfId="22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3" xfId="0" applyFont="1" applyBorder="1" applyAlignment="1" applyProtection="1">
      <alignment vertical="center" wrapText="1"/>
    </xf>
    <xf numFmtId="0" fontId="22" fillId="0" borderId="29" xfId="0" applyFont="1" applyBorder="1" applyAlignment="1" applyProtection="1">
      <alignment vertical="center" wrapText="1"/>
    </xf>
    <xf numFmtId="166" fontId="16" fillId="0" borderId="14" xfId="22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5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6" xfId="0" applyFont="1" applyBorder="1" applyAlignment="1" applyProtection="1">
      <alignment vertical="center" wrapText="1"/>
    </xf>
    <xf numFmtId="0" fontId="16" fillId="0" borderId="29" xfId="22" applyFont="1" applyFill="1" applyBorder="1" applyAlignment="1" applyProtection="1">
      <alignment horizontal="left" vertical="center" wrapText="1" indent="1"/>
    </xf>
    <xf numFmtId="0" fontId="16" fillId="0" borderId="23" xfId="22" applyFont="1" applyFill="1" applyBorder="1" applyAlignment="1" applyProtection="1">
      <alignment vertical="center" wrapText="1"/>
    </xf>
    <xf numFmtId="0" fontId="17" fillId="0" borderId="20" xfId="22" applyFont="1" applyFill="1" applyBorder="1" applyAlignment="1" applyProtection="1">
      <alignment horizontal="left" vertical="center" wrapText="1" indent="7"/>
    </xf>
    <xf numFmtId="0" fontId="16" fillId="0" borderId="13" xfId="22" applyFont="1" applyFill="1" applyBorder="1" applyAlignment="1" applyProtection="1">
      <alignment horizontal="left" vertical="center" wrapText="1"/>
    </xf>
    <xf numFmtId="166" fontId="27" fillId="0" borderId="1" xfId="0" applyNumberFormat="1" applyFont="1" applyFill="1" applyBorder="1" applyAlignment="1" applyProtection="1">
      <alignment horizontal="right" vertical="center" wrapText="1" indent="1"/>
    </xf>
    <xf numFmtId="49" fontId="23" fillId="0" borderId="13" xfId="22" applyNumberFormat="1" applyFont="1" applyFill="1" applyBorder="1" applyAlignment="1" applyProtection="1">
      <alignment horizontal="center" vertical="center" wrapText="1"/>
    </xf>
    <xf numFmtId="166" fontId="16" fillId="0" borderId="38" xfId="22" applyNumberFormat="1" applyFont="1" applyFill="1" applyBorder="1" applyAlignment="1" applyProtection="1">
      <alignment horizontal="right" vertical="center" wrapText="1" indent="1"/>
    </xf>
    <xf numFmtId="166" fontId="17" fillId="0" borderId="39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0" xfId="22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41" xfId="22" applyNumberFormat="1" applyFont="1" applyFill="1" applyBorder="1" applyAlignment="1" applyProtection="1">
      <alignment horizontal="right" vertical="center" wrapText="1" indent="1"/>
    </xf>
    <xf numFmtId="166" fontId="22" fillId="0" borderId="25" xfId="0" applyNumberFormat="1" applyFont="1" applyBorder="1" applyAlignment="1" applyProtection="1">
      <alignment horizontal="right" vertical="center" wrapText="1" indent="1"/>
    </xf>
    <xf numFmtId="166" fontId="22" fillId="0" borderId="25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25" xfId="0" quotePrefix="1" applyNumberFormat="1" applyFont="1" applyBorder="1" applyAlignment="1" applyProtection="1">
      <alignment horizontal="right" vertical="center" wrapText="1" indent="1"/>
    </xf>
    <xf numFmtId="166" fontId="17" fillId="0" borderId="4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0" xfId="22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3" xfId="22" applyNumberFormat="1" applyFont="1" applyFill="1" applyBorder="1" applyAlignment="1" applyProtection="1">
      <alignment horizontal="right" vertical="center" wrapText="1" indent="1"/>
    </xf>
    <xf numFmtId="166" fontId="22" fillId="0" borderId="14" xfId="0" applyNumberFormat="1" applyFont="1" applyBorder="1" applyAlignment="1" applyProtection="1">
      <alignment horizontal="right" vertical="center" wrapText="1" indent="1"/>
    </xf>
    <xf numFmtId="166" fontId="22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14" xfId="0" quotePrefix="1" applyNumberFormat="1" applyFont="1" applyBorder="1" applyAlignment="1" applyProtection="1">
      <alignment horizontal="right" vertical="center" wrapText="1" indent="1"/>
    </xf>
    <xf numFmtId="0" fontId="7" fillId="0" borderId="20" xfId="22" applyFont="1" applyFill="1" applyBorder="1" applyAlignment="1" applyProtection="1">
      <alignment horizontal="center" vertical="center" wrapText="1"/>
    </xf>
    <xf numFmtId="0" fontId="7" fillId="0" borderId="42" xfId="22" applyFont="1" applyFill="1" applyBorder="1" applyAlignment="1" applyProtection="1">
      <alignment horizontal="center" vertical="center" wrapText="1"/>
    </xf>
    <xf numFmtId="0" fontId="16" fillId="0" borderId="43" xfId="22" applyFont="1" applyFill="1" applyBorder="1" applyAlignment="1" applyProtection="1">
      <alignment horizontal="center" vertical="center" wrapText="1"/>
    </xf>
    <xf numFmtId="166" fontId="16" fillId="0" borderId="44" xfId="22" applyNumberFormat="1" applyFont="1" applyFill="1" applyBorder="1" applyAlignment="1" applyProtection="1">
      <alignment horizontal="right" vertical="center" wrapText="1" indent="1"/>
    </xf>
    <xf numFmtId="166" fontId="16" fillId="0" borderId="24" xfId="22" applyNumberFormat="1" applyFont="1" applyFill="1" applyBorder="1" applyAlignment="1" applyProtection="1">
      <alignment horizontal="right" vertical="center" wrapText="1" indent="1"/>
    </xf>
    <xf numFmtId="166" fontId="17" fillId="0" borderId="21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5" xfId="22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4" xfId="22" applyNumberFormat="1" applyFont="1" applyFill="1" applyBorder="1" applyAlignment="1" applyProtection="1">
      <alignment horizontal="right" vertical="center" wrapText="1" indent="1"/>
    </xf>
    <xf numFmtId="166" fontId="22" fillId="0" borderId="24" xfId="0" applyNumberFormat="1" applyFont="1" applyBorder="1" applyAlignment="1" applyProtection="1">
      <alignment horizontal="right" vertical="center" wrapText="1" indent="1"/>
    </xf>
    <xf numFmtId="166" fontId="22" fillId="0" borderId="24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24" xfId="0" quotePrefix="1" applyNumberFormat="1" applyFont="1" applyBorder="1" applyAlignment="1" applyProtection="1">
      <alignment horizontal="right" vertical="center" wrapText="1" indent="1"/>
    </xf>
    <xf numFmtId="0" fontId="16" fillId="0" borderId="24" xfId="22" applyFont="1" applyFill="1" applyBorder="1" applyAlignment="1" applyProtection="1">
      <alignment horizontal="center" vertical="center" wrapText="1"/>
    </xf>
    <xf numFmtId="166" fontId="17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5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4" xfId="0" applyNumberFormat="1" applyFont="1" applyFill="1" applyBorder="1" applyAlignment="1" applyProtection="1">
      <alignment horizontal="right" vertical="center" wrapText="1" indent="1"/>
    </xf>
    <xf numFmtId="166" fontId="24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0" xfId="0" applyFont="1" applyProtection="1"/>
    <xf numFmtId="0" fontId="19" fillId="0" borderId="0" xfId="0" applyFont="1" applyAlignment="1" applyProtection="1">
      <alignment horizontal="center"/>
    </xf>
    <xf numFmtId="0" fontId="31" fillId="0" borderId="0" xfId="0" applyFont="1" applyFill="1" applyProtection="1"/>
    <xf numFmtId="3" fontId="31" fillId="0" borderId="0" xfId="0" applyNumberFormat="1" applyFont="1" applyFill="1" applyAlignment="1" applyProtection="1">
      <alignment horizontal="right" indent="1"/>
    </xf>
    <xf numFmtId="0" fontId="31" fillId="0" borderId="0" xfId="0" applyFont="1" applyFill="1" applyAlignment="1" applyProtection="1">
      <alignment horizontal="right" indent="1"/>
    </xf>
    <xf numFmtId="3" fontId="25" fillId="0" borderId="0" xfId="0" applyNumberFormat="1" applyFont="1" applyFill="1" applyAlignment="1" applyProtection="1">
      <alignment horizontal="right" indent="1"/>
    </xf>
    <xf numFmtId="0" fontId="34" fillId="0" borderId="0" xfId="0" applyFont="1" applyFill="1" applyProtection="1"/>
    <xf numFmtId="0" fontId="28" fillId="0" borderId="0" xfId="0" applyFont="1" applyFill="1" applyProtection="1"/>
    <xf numFmtId="0" fontId="18" fillId="0" borderId="0" xfId="0" applyFont="1" applyProtection="1"/>
    <xf numFmtId="0" fontId="28" fillId="0" borderId="0" xfId="0" applyFont="1" applyProtection="1"/>
    <xf numFmtId="0" fontId="16" fillId="0" borderId="47" xfId="0" applyFont="1" applyFill="1" applyBorder="1" applyAlignment="1" applyProtection="1">
      <alignment horizontal="center" vertical="center" wrapText="1"/>
    </xf>
    <xf numFmtId="166" fontId="24" fillId="0" borderId="5" xfId="22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5" xfId="22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1" xfId="22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2" xfId="22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2" xfId="22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4" xfId="0" applyNumberFormat="1" applyFont="1" applyFill="1" applyBorder="1" applyAlignment="1" applyProtection="1">
      <alignment horizontal="right" vertical="center" wrapText="1" indent="1"/>
    </xf>
    <xf numFmtId="166" fontId="17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14" xfId="0" applyNumberFormat="1" applyFont="1" applyFill="1" applyBorder="1" applyAlignment="1" applyProtection="1">
      <alignment horizontal="right" vertical="center" wrapText="1" indent="1"/>
    </xf>
    <xf numFmtId="166" fontId="2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3" xfId="0" applyFont="1" applyBorder="1" applyAlignment="1">
      <alignment horizontal="left" vertical="center"/>
    </xf>
    <xf numFmtId="0" fontId="4" fillId="0" borderId="24" xfId="0" applyFont="1" applyBorder="1" applyAlignment="1">
      <alignment vertical="center" wrapText="1"/>
    </xf>
    <xf numFmtId="0" fontId="4" fillId="0" borderId="29" xfId="0" applyFont="1" applyBorder="1" applyAlignment="1">
      <alignment horizontal="left" vertical="center"/>
    </xf>
    <xf numFmtId="0" fontId="4" fillId="0" borderId="48" xfId="0" applyFont="1" applyBorder="1" applyAlignment="1">
      <alignment vertical="center" wrapText="1"/>
    </xf>
    <xf numFmtId="166" fontId="25" fillId="0" borderId="14" xfId="0" applyNumberFormat="1" applyFont="1" applyFill="1" applyBorder="1" applyAlignment="1" applyProtection="1">
      <alignment horizontal="right" vertical="center" wrapText="1" indent="1"/>
    </xf>
    <xf numFmtId="166" fontId="25" fillId="0" borderId="25" xfId="0" applyNumberFormat="1" applyFont="1" applyFill="1" applyBorder="1" applyAlignment="1" applyProtection="1">
      <alignment horizontal="right" vertical="center" wrapText="1" indent="1"/>
    </xf>
    <xf numFmtId="0" fontId="21" fillId="0" borderId="3" xfId="0" applyFont="1" applyBorder="1" applyAlignment="1">
      <alignment horizontal="left" wrapText="1" indent="1"/>
    </xf>
    <xf numFmtId="0" fontId="21" fillId="0" borderId="1" xfId="0" applyFont="1" applyBorder="1" applyAlignment="1">
      <alignment horizontal="left" vertical="center" wrapText="1" indent="1"/>
    </xf>
    <xf numFmtId="0" fontId="7" fillId="0" borderId="49" xfId="22" applyFont="1" applyFill="1" applyBorder="1" applyAlignment="1" applyProtection="1">
      <alignment horizontal="center" vertical="center" wrapText="1"/>
      <protection locked="0"/>
    </xf>
    <xf numFmtId="166" fontId="7" fillId="0" borderId="2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25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8" xfId="0" applyFont="1" applyFill="1" applyBorder="1" applyAlignment="1" applyProtection="1">
      <alignment horizontal="center" vertical="center" wrapText="1"/>
      <protection locked="0"/>
    </xf>
    <xf numFmtId="0" fontId="17" fillId="0" borderId="20" xfId="22" applyFont="1" applyFill="1" applyBorder="1" applyAlignment="1" applyProtection="1">
      <alignment horizontal="left" vertical="center" wrapText="1" indent="1"/>
    </xf>
    <xf numFmtId="0" fontId="10" fillId="0" borderId="0" xfId="22" applyFont="1" applyFill="1" applyProtection="1">
      <protection locked="0"/>
    </xf>
    <xf numFmtId="0" fontId="10" fillId="0" borderId="0" xfId="22" applyFont="1" applyFill="1" applyAlignment="1" applyProtection="1">
      <alignment horizontal="right" vertical="center" indent="1"/>
      <protection locked="0"/>
    </xf>
    <xf numFmtId="0" fontId="10" fillId="0" borderId="0" xfId="22" applyFill="1" applyProtection="1"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21" fillId="0" borderId="20" xfId="0" applyFont="1" applyBorder="1" applyAlignment="1" applyProtection="1">
      <alignment wrapText="1"/>
    </xf>
    <xf numFmtId="166" fontId="24" fillId="0" borderId="20" xfId="22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0" xfId="22" applyNumberFormat="1" applyFont="1" applyFill="1" applyBorder="1" applyAlignment="1" applyProtection="1">
      <alignment horizontal="right" vertical="center" wrapText="1" indent="1"/>
      <protection locked="0"/>
    </xf>
    <xf numFmtId="166" fontId="3" fillId="0" borderId="0" xfId="0" applyNumberFormat="1" applyFont="1" applyFill="1" applyAlignment="1" applyProtection="1">
      <alignment horizontal="left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 wrapText="1"/>
      <protection locked="0"/>
    </xf>
    <xf numFmtId="49" fontId="7" fillId="0" borderId="25" xfId="0" applyNumberFormat="1" applyFont="1" applyFill="1" applyBorder="1" applyAlignment="1" applyProtection="1">
      <alignment horizontal="right" vertical="center" indent="1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7" fillId="0" borderId="50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7" fillId="0" borderId="34" xfId="0" applyFont="1" applyFill="1" applyBorder="1" applyAlignment="1" applyProtection="1">
      <alignment horizontal="center" vertical="center" wrapText="1"/>
      <protection locked="0"/>
    </xf>
    <xf numFmtId="0" fontId="7" fillId="0" borderId="34" xfId="0" quotePrefix="1" applyFont="1" applyFill="1" applyBorder="1" applyAlignment="1" applyProtection="1">
      <alignment horizontal="right" vertical="center" indent="1"/>
      <protection locked="0"/>
    </xf>
    <xf numFmtId="49" fontId="7" fillId="0" borderId="34" xfId="0" applyNumberFormat="1" applyFont="1" applyFill="1" applyBorder="1" applyAlignment="1" applyProtection="1">
      <alignment horizontal="right" vertical="center" indent="1"/>
      <protection locked="0"/>
    </xf>
    <xf numFmtId="166" fontId="15" fillId="0" borderId="0" xfId="0" applyNumberFormat="1" applyFont="1" applyFill="1" applyAlignment="1" applyProtection="1">
      <alignment vertical="center" wrapText="1"/>
      <protection locked="0"/>
    </xf>
    <xf numFmtId="166" fontId="3" fillId="0" borderId="0" xfId="0" applyNumberFormat="1" applyFont="1" applyFill="1" applyAlignment="1" applyProtection="1">
      <alignment vertical="center" wrapText="1"/>
      <protection locked="0"/>
    </xf>
    <xf numFmtId="0" fontId="5" fillId="0" borderId="0" xfId="0" applyNumberFormat="1" applyFont="1" applyFill="1" applyAlignment="1" applyProtection="1">
      <alignment horizontal="right"/>
      <protection locked="0"/>
    </xf>
    <xf numFmtId="166" fontId="9" fillId="0" borderId="0" xfId="0" applyNumberFormat="1" applyFont="1" applyFill="1" applyAlignment="1" applyProtection="1">
      <alignment vertical="center" wrapText="1"/>
      <protection locked="0"/>
    </xf>
    <xf numFmtId="166" fontId="0" fillId="0" borderId="0" xfId="0" applyNumberFormat="1" applyFill="1" applyAlignment="1" applyProtection="1">
      <alignment horizontal="center" vertical="center" wrapText="1"/>
      <protection locked="0"/>
    </xf>
    <xf numFmtId="166" fontId="0" fillId="0" borderId="0" xfId="0" applyNumberFormat="1" applyFill="1" applyAlignment="1" applyProtection="1">
      <alignment vertical="center" wrapText="1"/>
      <protection locked="0"/>
    </xf>
    <xf numFmtId="166" fontId="5" fillId="0" borderId="0" xfId="0" applyNumberFormat="1" applyFont="1" applyFill="1" applyAlignment="1" applyProtection="1">
      <alignment horizontal="right" wrapText="1"/>
      <protection locked="0"/>
    </xf>
    <xf numFmtId="166" fontId="7" fillId="0" borderId="13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29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23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51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  <protection locked="0"/>
    </xf>
    <xf numFmtId="166" fontId="0" fillId="0" borderId="0" xfId="0" applyNumberFormat="1" applyFill="1" applyAlignment="1" applyProtection="1">
      <alignment horizontal="centerContinuous" vertical="center"/>
      <protection locked="0"/>
    </xf>
    <xf numFmtId="166" fontId="5" fillId="0" borderId="0" xfId="0" applyNumberFormat="1" applyFont="1" applyFill="1" applyAlignment="1" applyProtection="1">
      <alignment horizontal="right" vertical="center"/>
      <protection locked="0"/>
    </xf>
    <xf numFmtId="166" fontId="7" fillId="0" borderId="13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14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24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19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52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38" xfId="0" applyNumberFormat="1" applyFont="1" applyFill="1" applyBorder="1" applyAlignment="1" applyProtection="1">
      <alignment horizontal="centerContinuous" vertical="center" wrapText="1"/>
      <protection locked="0"/>
    </xf>
    <xf numFmtId="166" fontId="23" fillId="0" borderId="34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13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16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43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24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3" xfId="0" applyFont="1" applyFill="1" applyBorder="1" applyAlignment="1" applyProtection="1">
      <alignment horizontal="center" vertical="center" wrapText="1"/>
      <protection locked="0"/>
    </xf>
    <xf numFmtId="0" fontId="16" fillId="0" borderId="14" xfId="0" applyFont="1" applyFill="1" applyBorder="1" applyAlignment="1" applyProtection="1">
      <alignment horizontal="center" vertical="center" wrapText="1"/>
      <protection locked="0"/>
    </xf>
    <xf numFmtId="0" fontId="16" fillId="0" borderId="47" xfId="0" applyFont="1" applyFill="1" applyBorder="1" applyAlignment="1" applyProtection="1">
      <alignment horizontal="center" vertical="center" wrapText="1"/>
      <protection locked="0"/>
    </xf>
    <xf numFmtId="0" fontId="16" fillId="0" borderId="19" xfId="0" applyFont="1" applyFill="1" applyBorder="1" applyAlignment="1" applyProtection="1">
      <alignment horizontal="center" vertical="center" wrapText="1"/>
      <protection locked="0"/>
    </xf>
    <xf numFmtId="0" fontId="7" fillId="0" borderId="49" xfId="22" applyFont="1" applyFill="1" applyBorder="1" applyAlignment="1" applyProtection="1">
      <alignment horizontal="center" vertical="center" wrapText="1"/>
    </xf>
    <xf numFmtId="0" fontId="16" fillId="0" borderId="14" xfId="22" applyFont="1" applyFill="1" applyBorder="1" applyAlignment="1" applyProtection="1">
      <alignment horizontal="left" vertical="center" wrapText="1"/>
    </xf>
    <xf numFmtId="0" fontId="21" fillId="0" borderId="3" xfId="0" applyFont="1" applyBorder="1" applyAlignment="1" applyProtection="1">
      <alignment horizontal="left" vertical="center" wrapText="1"/>
    </xf>
    <xf numFmtId="0" fontId="21" fillId="0" borderId="2" xfId="0" applyFont="1" applyBorder="1" applyAlignment="1" applyProtection="1">
      <alignment horizontal="left" vertical="center" wrapText="1"/>
    </xf>
    <xf numFmtId="166" fontId="17" fillId="3" borderId="2" xfId="22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6" xfId="0" applyFont="1" applyBorder="1" applyAlignment="1" applyProtection="1">
      <alignment horizontal="left" vertical="center" wrapText="1"/>
    </xf>
    <xf numFmtId="166" fontId="17" fillId="3" borderId="6" xfId="22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4" xfId="0" applyFont="1" applyBorder="1" applyAlignment="1" applyProtection="1">
      <alignment horizontal="left" vertical="center" wrapText="1"/>
    </xf>
    <xf numFmtId="0" fontId="21" fillId="0" borderId="3" xfId="0" applyFont="1" applyBorder="1" applyAlignment="1">
      <alignment horizontal="left" wrapText="1"/>
    </xf>
    <xf numFmtId="0" fontId="21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9" xfId="0" applyFont="1" applyBorder="1" applyAlignment="1" applyProtection="1">
      <alignment vertical="center" wrapText="1"/>
    </xf>
    <xf numFmtId="0" fontId="21" fillId="0" borderId="8" xfId="0" applyFont="1" applyBorder="1" applyAlignment="1" applyProtection="1">
      <alignment vertical="center" wrapText="1"/>
    </xf>
    <xf numFmtId="0" fontId="21" fillId="0" borderId="10" xfId="0" applyFont="1" applyBorder="1" applyAlignment="1" applyProtection="1">
      <alignment vertical="center" wrapText="1"/>
    </xf>
    <xf numFmtId="0" fontId="22" fillId="0" borderId="14" xfId="0" applyFont="1" applyBorder="1" applyAlignment="1" applyProtection="1">
      <alignment vertical="center" wrapText="1"/>
    </xf>
    <xf numFmtId="0" fontId="22" fillId="0" borderId="23" xfId="0" applyFont="1" applyBorder="1" applyAlignment="1" applyProtection="1">
      <alignment vertical="center" wrapText="1"/>
    </xf>
    <xf numFmtId="166" fontId="29" fillId="0" borderId="22" xfId="22" applyNumberFormat="1" applyFont="1" applyFill="1" applyBorder="1" applyAlignment="1" applyProtection="1"/>
    <xf numFmtId="0" fontId="16" fillId="0" borderId="25" xfId="22" applyFont="1" applyFill="1" applyBorder="1" applyAlignment="1" applyProtection="1">
      <alignment horizontal="center" vertical="center" wrapText="1"/>
    </xf>
    <xf numFmtId="0" fontId="17" fillId="0" borderId="4" xfId="22" applyFont="1" applyFill="1" applyBorder="1" applyAlignment="1" applyProtection="1">
      <alignment horizontal="left" vertical="center" wrapText="1"/>
    </xf>
    <xf numFmtId="0" fontId="17" fillId="0" borderId="2" xfId="22" applyFont="1" applyFill="1" applyBorder="1" applyAlignment="1" applyProtection="1">
      <alignment horizontal="left" vertical="center" wrapText="1"/>
    </xf>
    <xf numFmtId="0" fontId="17" fillId="0" borderId="5" xfId="22" applyFont="1" applyFill="1" applyBorder="1" applyAlignment="1" applyProtection="1">
      <alignment horizontal="left" vertical="center" wrapText="1"/>
    </xf>
    <xf numFmtId="0" fontId="17" fillId="0" borderId="0" xfId="22" applyFont="1" applyFill="1" applyBorder="1" applyAlignment="1" applyProtection="1">
      <alignment horizontal="left" vertical="center" wrapText="1"/>
    </xf>
    <xf numFmtId="0" fontId="17" fillId="0" borderId="2" xfId="22" applyFont="1" applyFill="1" applyBorder="1" applyAlignment="1" applyProtection="1">
      <alignment horizontal="left" vertical="center"/>
    </xf>
    <xf numFmtId="0" fontId="17" fillId="0" borderId="6" xfId="22" applyFont="1" applyFill="1" applyBorder="1" applyAlignment="1" applyProtection="1">
      <alignment horizontal="left" vertical="center" wrapText="1"/>
    </xf>
    <xf numFmtId="0" fontId="17" fillId="0" borderId="20" xfId="22" applyFont="1" applyFill="1" applyBorder="1" applyAlignment="1" applyProtection="1">
      <alignment horizontal="left" vertical="center" wrapText="1"/>
    </xf>
    <xf numFmtId="0" fontId="17" fillId="0" borderId="3" xfId="22" applyFont="1" applyFill="1" applyBorder="1" applyAlignment="1" applyProtection="1">
      <alignment horizontal="left" vertical="center" wrapText="1"/>
    </xf>
    <xf numFmtId="0" fontId="10" fillId="0" borderId="0" xfId="22" applyFill="1" applyAlignment="1" applyProtection="1">
      <alignment horizontal="left" vertical="center" indent="1"/>
    </xf>
    <xf numFmtId="0" fontId="23" fillId="0" borderId="14" xfId="22" applyFont="1" applyFill="1" applyBorder="1" applyAlignment="1" applyProtection="1">
      <alignment horizontal="left" vertical="center" wrapText="1"/>
    </xf>
    <xf numFmtId="0" fontId="17" fillId="0" borderId="1" xfId="22" applyFont="1" applyFill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left" vertical="center" wrapText="1"/>
    </xf>
    <xf numFmtId="166" fontId="7" fillId="0" borderId="53" xfId="0" applyNumberFormat="1" applyFont="1" applyFill="1" applyBorder="1" applyAlignment="1" applyProtection="1">
      <alignment horizontal="centerContinuous" vertical="center"/>
    </xf>
    <xf numFmtId="166" fontId="7" fillId="0" borderId="54" xfId="0" applyNumberFormat="1" applyFont="1" applyFill="1" applyBorder="1" applyAlignment="1" applyProtection="1">
      <alignment horizontal="centerContinuous" vertical="center"/>
    </xf>
    <xf numFmtId="166" fontId="7" fillId="0" borderId="39" xfId="0" applyNumberFormat="1" applyFont="1" applyFill="1" applyBorder="1" applyAlignment="1" applyProtection="1">
      <alignment horizontal="centerContinuous" vertical="center"/>
    </xf>
    <xf numFmtId="166" fontId="42" fillId="0" borderId="0" xfId="0" applyNumberFormat="1" applyFont="1" applyFill="1" applyAlignment="1">
      <alignment vertical="center"/>
    </xf>
    <xf numFmtId="166" fontId="7" fillId="0" borderId="55" xfId="0" applyNumberFormat="1" applyFont="1" applyFill="1" applyBorder="1" applyAlignment="1" applyProtection="1">
      <alignment horizontal="center" vertical="center"/>
    </xf>
    <xf numFmtId="166" fontId="7" fillId="0" borderId="56" xfId="0" applyNumberFormat="1" applyFont="1" applyFill="1" applyBorder="1" applyAlignment="1" applyProtection="1">
      <alignment horizontal="center" vertical="center"/>
    </xf>
    <xf numFmtId="166" fontId="7" fillId="0" borderId="49" xfId="0" applyNumberFormat="1" applyFont="1" applyFill="1" applyBorder="1" applyAlignment="1" applyProtection="1">
      <alignment horizontal="center" vertical="center" wrapText="1"/>
    </xf>
    <xf numFmtId="166" fontId="42" fillId="0" borderId="0" xfId="0" applyNumberFormat="1" applyFont="1" applyFill="1" applyAlignment="1">
      <alignment horizontal="center" vertical="center"/>
    </xf>
    <xf numFmtId="166" fontId="16" fillId="0" borderId="50" xfId="0" applyNumberFormat="1" applyFont="1" applyFill="1" applyBorder="1" applyAlignment="1" applyProtection="1">
      <alignment horizontal="center" vertical="center" wrapText="1"/>
    </xf>
    <xf numFmtId="166" fontId="16" fillId="0" borderId="14" xfId="0" applyNumberFormat="1" applyFont="1" applyFill="1" applyBorder="1" applyAlignment="1" applyProtection="1">
      <alignment horizontal="center" vertical="center" wrapText="1"/>
    </xf>
    <xf numFmtId="166" fontId="16" fillId="0" borderId="44" xfId="0" applyNumberFormat="1" applyFont="1" applyFill="1" applyBorder="1" applyAlignment="1" applyProtection="1">
      <alignment horizontal="center" vertical="center" wrapText="1"/>
    </xf>
    <xf numFmtId="166" fontId="16" fillId="0" borderId="35" xfId="0" applyNumberFormat="1" applyFont="1" applyFill="1" applyBorder="1" applyAlignment="1" applyProtection="1">
      <alignment horizontal="center" vertical="center" wrapText="1"/>
    </xf>
    <xf numFmtId="166" fontId="16" fillId="0" borderId="0" xfId="0" applyNumberFormat="1" applyFont="1" applyFill="1" applyAlignment="1">
      <alignment horizontal="center" vertical="center" wrapText="1"/>
    </xf>
    <xf numFmtId="166" fontId="16" fillId="0" borderId="11" xfId="0" applyNumberFormat="1" applyFont="1" applyFill="1" applyBorder="1" applyAlignment="1" applyProtection="1">
      <alignment horizontal="right" vertical="center" wrapText="1" indent="1"/>
    </xf>
    <xf numFmtId="166" fontId="23" fillId="0" borderId="4" xfId="0" applyNumberFormat="1" applyFont="1" applyFill="1" applyBorder="1" applyAlignment="1" applyProtection="1">
      <alignment horizontal="left" vertical="center" wrapText="1" indent="1"/>
    </xf>
    <xf numFmtId="1" fontId="26" fillId="2" borderId="4" xfId="0" applyNumberFormat="1" applyFont="1" applyFill="1" applyBorder="1" applyAlignment="1" applyProtection="1">
      <alignment horizontal="center" vertical="center" wrapText="1"/>
    </xf>
    <xf numFmtId="166" fontId="23" fillId="0" borderId="4" xfId="0" applyNumberFormat="1" applyFont="1" applyFill="1" applyBorder="1" applyAlignment="1" applyProtection="1">
      <alignment vertical="center" wrapText="1"/>
    </xf>
    <xf numFmtId="166" fontId="23" fillId="0" borderId="53" xfId="0" applyNumberFormat="1" applyFont="1" applyFill="1" applyBorder="1" applyAlignment="1" applyProtection="1">
      <alignment vertical="center" wrapText="1"/>
    </xf>
    <xf numFmtId="166" fontId="23" fillId="0" borderId="57" xfId="0" applyNumberFormat="1" applyFont="1" applyFill="1" applyBorder="1" applyAlignment="1" applyProtection="1">
      <alignment vertical="center" wrapText="1"/>
    </xf>
    <xf numFmtId="166" fontId="16" fillId="0" borderId="8" xfId="0" applyNumberFormat="1" applyFont="1" applyFill="1" applyBorder="1" applyAlignment="1" applyProtection="1">
      <alignment horizontal="right" vertical="center" wrapText="1" indent="1"/>
    </xf>
    <xf numFmtId="166" fontId="17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30" xfId="0" applyNumberFormat="1" applyFont="1" applyFill="1" applyBorder="1" applyAlignment="1" applyProtection="1">
      <alignment vertical="center" wrapText="1"/>
      <protection locked="0"/>
    </xf>
    <xf numFmtId="166" fontId="17" fillId="0" borderId="32" xfId="0" applyNumberFormat="1" applyFont="1" applyFill="1" applyBorder="1" applyAlignment="1" applyProtection="1">
      <alignment vertical="center" wrapText="1"/>
    </xf>
    <xf numFmtId="166" fontId="23" fillId="0" borderId="2" xfId="0" applyNumberFormat="1" applyFont="1" applyFill="1" applyBorder="1" applyAlignment="1" applyProtection="1">
      <alignment horizontal="left" vertical="center" wrapText="1" indent="1"/>
    </xf>
    <xf numFmtId="1" fontId="26" fillId="2" borderId="2" xfId="0" applyNumberFormat="1" applyFont="1" applyFill="1" applyBorder="1" applyAlignment="1" applyProtection="1">
      <alignment horizontal="center" vertical="center" wrapText="1"/>
    </xf>
    <xf numFmtId="166" fontId="23" fillId="0" borderId="2" xfId="0" applyNumberFormat="1" applyFont="1" applyFill="1" applyBorder="1" applyAlignment="1" applyProtection="1">
      <alignment vertical="center" wrapText="1"/>
    </xf>
    <xf numFmtId="166" fontId="23" fillId="0" borderId="30" xfId="0" applyNumberFormat="1" applyFont="1" applyFill="1" applyBorder="1" applyAlignment="1" applyProtection="1">
      <alignment vertical="center" wrapText="1"/>
    </xf>
    <xf numFmtId="166" fontId="23" fillId="0" borderId="32" xfId="0" applyNumberFormat="1" applyFont="1" applyFill="1" applyBorder="1" applyAlignment="1" applyProtection="1">
      <alignment vertical="center" wrapText="1"/>
    </xf>
    <xf numFmtId="166" fontId="16" fillId="0" borderId="2" xfId="0" applyNumberFormat="1" applyFont="1" applyFill="1" applyBorder="1" applyAlignment="1" applyProtection="1">
      <alignment horizontal="left" vertical="center" wrapText="1" indent="1"/>
    </xf>
    <xf numFmtId="166" fontId="16" fillId="0" borderId="7" xfId="0" applyNumberFormat="1" applyFont="1" applyFill="1" applyBorder="1" applyAlignment="1" applyProtection="1">
      <alignment horizontal="right" vertical="center" wrapText="1" indent="1"/>
    </xf>
    <xf numFmtId="166" fontId="23" fillId="0" borderId="1" xfId="0" applyNumberFormat="1" applyFont="1" applyFill="1" applyBorder="1" applyAlignment="1" applyProtection="1">
      <alignment horizontal="left" vertical="center" wrapText="1" indent="1"/>
    </xf>
    <xf numFmtId="1" fontId="26" fillId="2" borderId="6" xfId="0" applyNumberFormat="1" applyFont="1" applyFill="1" applyBorder="1" applyAlignment="1" applyProtection="1">
      <alignment horizontal="center" vertical="center" wrapText="1"/>
    </xf>
    <xf numFmtId="166" fontId="23" fillId="0" borderId="1" xfId="0" applyNumberFormat="1" applyFont="1" applyFill="1" applyBorder="1" applyAlignment="1" applyProtection="1">
      <alignment vertical="center" wrapText="1"/>
    </xf>
    <xf numFmtId="166" fontId="23" fillId="0" borderId="37" xfId="0" applyNumberFormat="1" applyFont="1" applyFill="1" applyBorder="1" applyAlignment="1" applyProtection="1">
      <alignment vertical="center" wrapText="1"/>
    </xf>
    <xf numFmtId="1" fontId="13" fillId="0" borderId="37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1" xfId="0" applyNumberFormat="1" applyFont="1" applyFill="1" applyBorder="1" applyAlignment="1" applyProtection="1">
      <alignment vertical="center" wrapText="1"/>
      <protection locked="0"/>
    </xf>
    <xf numFmtId="166" fontId="17" fillId="0" borderId="37" xfId="0" applyNumberFormat="1" applyFont="1" applyFill="1" applyBorder="1" applyAlignment="1" applyProtection="1">
      <alignment vertical="center" wrapText="1"/>
      <protection locked="0"/>
    </xf>
    <xf numFmtId="166" fontId="16" fillId="0" borderId="13" xfId="0" applyNumberFormat="1" applyFont="1" applyFill="1" applyBorder="1" applyAlignment="1" applyProtection="1">
      <alignment horizontal="right" vertical="center" wrapText="1" indent="1"/>
    </xf>
    <xf numFmtId="166" fontId="16" fillId="0" borderId="14" xfId="0" applyNumberFormat="1" applyFont="1" applyFill="1" applyBorder="1" applyAlignment="1" applyProtection="1">
      <alignment horizontal="left" vertical="center" wrapText="1" indent="1"/>
    </xf>
    <xf numFmtId="1" fontId="17" fillId="2" borderId="44" xfId="0" applyNumberFormat="1" applyFont="1" applyFill="1" applyBorder="1" applyAlignment="1" applyProtection="1">
      <alignment vertical="center" wrapText="1"/>
    </xf>
    <xf numFmtId="166" fontId="23" fillId="0" borderId="14" xfId="0" applyNumberFormat="1" applyFont="1" applyFill="1" applyBorder="1" applyAlignment="1" applyProtection="1">
      <alignment vertical="center" wrapText="1"/>
    </xf>
    <xf numFmtId="166" fontId="23" fillId="0" borderId="44" xfId="0" applyNumberFormat="1" applyFont="1" applyFill="1" applyBorder="1" applyAlignment="1" applyProtection="1">
      <alignment vertical="center" wrapText="1"/>
    </xf>
    <xf numFmtId="166" fontId="23" fillId="0" borderId="34" xfId="0" applyNumberFormat="1" applyFont="1" applyFill="1" applyBorder="1" applyAlignment="1" applyProtection="1">
      <alignment vertical="center" wrapText="1"/>
    </xf>
    <xf numFmtId="166" fontId="9" fillId="0" borderId="0" xfId="0" applyNumberFormat="1" applyFont="1" applyFill="1" applyAlignment="1">
      <alignment vertical="center" wrapText="1"/>
    </xf>
    <xf numFmtId="166" fontId="42" fillId="0" borderId="0" xfId="0" applyNumberFormat="1" applyFont="1" applyFill="1" applyAlignment="1">
      <alignment horizontal="center" vertical="center" wrapText="1"/>
    </xf>
    <xf numFmtId="166" fontId="16" fillId="0" borderId="13" xfId="0" applyNumberFormat="1" applyFont="1" applyFill="1" applyBorder="1" applyAlignment="1">
      <alignment horizontal="right" vertical="center" wrapText="1" indent="1"/>
    </xf>
    <xf numFmtId="166" fontId="16" fillId="0" borderId="14" xfId="0" applyNumberFormat="1" applyFont="1" applyFill="1" applyBorder="1" applyAlignment="1">
      <alignment vertical="center" wrapText="1"/>
    </xf>
    <xf numFmtId="166" fontId="16" fillId="0" borderId="19" xfId="0" applyNumberFormat="1" applyFont="1" applyFill="1" applyBorder="1" applyAlignment="1">
      <alignment vertical="center" wrapText="1"/>
    </xf>
    <xf numFmtId="166" fontId="16" fillId="0" borderId="8" xfId="0" applyNumberFormat="1" applyFont="1" applyFill="1" applyBorder="1" applyAlignment="1">
      <alignment horizontal="right" vertical="center" wrapText="1" indent="1"/>
    </xf>
    <xf numFmtId="166" fontId="17" fillId="0" borderId="17" xfId="0" applyNumberFormat="1" applyFont="1" applyFill="1" applyBorder="1" applyAlignment="1" applyProtection="1">
      <alignment vertical="center" wrapText="1"/>
      <protection locked="0"/>
    </xf>
    <xf numFmtId="166" fontId="24" fillId="0" borderId="30" xfId="0" applyNumberFormat="1" applyFont="1" applyFill="1" applyBorder="1" applyAlignment="1" applyProtection="1">
      <alignment vertical="center"/>
      <protection locked="0"/>
    </xf>
    <xf numFmtId="166" fontId="23" fillId="0" borderId="30" xfId="0" applyNumberFormat="1" applyFont="1" applyFill="1" applyBorder="1" applyAlignment="1" applyProtection="1">
      <alignment vertical="center"/>
    </xf>
    <xf numFmtId="166" fontId="24" fillId="0" borderId="58" xfId="0" applyNumberFormat="1" applyFont="1" applyFill="1" applyBorder="1" applyAlignment="1" applyProtection="1">
      <alignment vertical="center"/>
      <protection locked="0"/>
    </xf>
    <xf numFmtId="0" fontId="24" fillId="0" borderId="12" xfId="0" applyFont="1" applyFill="1" applyBorder="1" applyAlignment="1" applyProtection="1">
      <alignment horizontal="center" vertical="center"/>
    </xf>
    <xf numFmtId="0" fontId="24" fillId="0" borderId="20" xfId="0" applyFont="1" applyFill="1" applyBorder="1" applyAlignment="1" applyProtection="1">
      <alignment vertical="center" wrapText="1"/>
    </xf>
    <xf numFmtId="166" fontId="24" fillId="0" borderId="20" xfId="0" applyNumberFormat="1" applyFont="1" applyFill="1" applyBorder="1" applyAlignment="1" applyProtection="1">
      <alignment vertical="center"/>
      <protection locked="0"/>
    </xf>
    <xf numFmtId="166" fontId="24" fillId="0" borderId="56" xfId="0" applyNumberFormat="1" applyFont="1" applyFill="1" applyBorder="1" applyAlignment="1" applyProtection="1">
      <alignment vertical="center"/>
      <protection locked="0"/>
    </xf>
    <xf numFmtId="166" fontId="23" fillId="0" borderId="44" xfId="0" applyNumberFormat="1" applyFont="1" applyFill="1" applyBorder="1" applyAlignment="1" applyProtection="1">
      <alignment vertical="center"/>
    </xf>
    <xf numFmtId="166" fontId="23" fillId="0" borderId="49" xfId="0" applyNumberFormat="1" applyFont="1" applyFill="1" applyBorder="1" applyAlignment="1" applyProtection="1">
      <alignment vertical="center"/>
    </xf>
    <xf numFmtId="166" fontId="25" fillId="0" borderId="14" xfId="0" applyNumberFormat="1" applyFont="1" applyFill="1" applyBorder="1" applyAlignment="1" applyProtection="1">
      <alignment vertical="center"/>
    </xf>
    <xf numFmtId="0" fontId="24" fillId="0" borderId="9" xfId="0" applyFont="1" applyFill="1" applyBorder="1" applyAlignment="1" applyProtection="1">
      <alignment horizontal="right" vertical="center" wrapText="1" indent="1"/>
    </xf>
    <xf numFmtId="0" fontId="21" fillId="0" borderId="21" xfId="0" applyFont="1" applyFill="1" applyBorder="1" applyAlignment="1" applyProtection="1">
      <alignment horizontal="left" vertical="center" wrapText="1" indent="1"/>
      <protection locked="0"/>
    </xf>
    <xf numFmtId="3" fontId="24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59" xfId="0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8" xfId="0" applyFont="1" applyFill="1" applyBorder="1" applyAlignment="1" applyProtection="1">
      <alignment horizontal="right" vertical="center" wrapText="1" indent="1"/>
    </xf>
    <xf numFmtId="0" fontId="21" fillId="0" borderId="5" xfId="0" applyFont="1" applyFill="1" applyBorder="1" applyAlignment="1" applyProtection="1">
      <alignment horizontal="left" vertical="center" wrapText="1" indent="1"/>
      <protection locked="0"/>
    </xf>
    <xf numFmtId="3" fontId="24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8" xfId="0" applyFont="1" applyFill="1" applyBorder="1" applyAlignment="1">
      <alignment horizontal="right" vertical="center" wrapText="1" indent="1"/>
    </xf>
    <xf numFmtId="0" fontId="21" fillId="0" borderId="5" xfId="0" applyFont="1" applyFill="1" applyBorder="1" applyAlignment="1" applyProtection="1">
      <alignment horizontal="left" vertical="center" wrapText="1" indent="8"/>
      <protection locked="0"/>
    </xf>
    <xf numFmtId="0" fontId="24" fillId="0" borderId="2" xfId="0" applyFont="1" applyFill="1" applyBorder="1" applyAlignment="1" applyProtection="1">
      <alignment vertical="center" wrapText="1"/>
      <protection locked="0"/>
    </xf>
    <xf numFmtId="0" fontId="24" fillId="0" borderId="12" xfId="0" applyFont="1" applyFill="1" applyBorder="1" applyAlignment="1">
      <alignment horizontal="right" vertical="center" wrapText="1" indent="1"/>
    </xf>
    <xf numFmtId="0" fontId="24" fillId="0" borderId="20" xfId="0" applyFont="1" applyFill="1" applyBorder="1" applyAlignment="1" applyProtection="1">
      <alignment vertical="center" wrapText="1"/>
      <protection locked="0"/>
    </xf>
    <xf numFmtId="3" fontId="24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24" fillId="0" borderId="11" xfId="0" applyFont="1" applyFill="1" applyBorder="1" applyAlignment="1">
      <alignment horizontal="right" vertical="center" indent="1"/>
    </xf>
    <xf numFmtId="0" fontId="24" fillId="0" borderId="4" xfId="0" applyFont="1" applyFill="1" applyBorder="1" applyAlignment="1" applyProtection="1">
      <alignment horizontal="left" vertical="center" indent="1"/>
      <protection locked="0"/>
    </xf>
    <xf numFmtId="3" fontId="24" fillId="0" borderId="53" xfId="0" applyNumberFormat="1" applyFont="1" applyFill="1" applyBorder="1" applyAlignment="1" applyProtection="1">
      <alignment horizontal="right" vertical="center"/>
      <protection locked="0"/>
    </xf>
    <xf numFmtId="0" fontId="24" fillId="0" borderId="8" xfId="0" applyFont="1" applyFill="1" applyBorder="1" applyAlignment="1">
      <alignment horizontal="right" vertical="center" indent="1"/>
    </xf>
    <xf numFmtId="0" fontId="24" fillId="0" borderId="2" xfId="0" applyFont="1" applyFill="1" applyBorder="1" applyAlignment="1" applyProtection="1">
      <alignment horizontal="left" vertical="center" indent="1"/>
      <protection locked="0"/>
    </xf>
    <xf numFmtId="3" fontId="24" fillId="0" borderId="30" xfId="0" applyNumberFormat="1" applyFont="1" applyFill="1" applyBorder="1" applyAlignment="1" applyProtection="1">
      <alignment horizontal="right" vertical="center"/>
      <protection locked="0"/>
    </xf>
    <xf numFmtId="3" fontId="24" fillId="0" borderId="17" xfId="0" applyNumberFormat="1" applyFont="1" applyFill="1" applyBorder="1" applyAlignment="1" applyProtection="1">
      <alignment horizontal="right" vertical="center"/>
      <protection locked="0"/>
    </xf>
    <xf numFmtId="0" fontId="24" fillId="0" borderId="10" xfId="0" applyFont="1" applyFill="1" applyBorder="1" applyAlignment="1">
      <alignment horizontal="right" vertical="center" indent="1"/>
    </xf>
    <xf numFmtId="0" fontId="24" fillId="0" borderId="6" xfId="0" applyFont="1" applyFill="1" applyBorder="1" applyAlignment="1" applyProtection="1">
      <alignment horizontal="left" vertical="center" indent="1"/>
      <protection locked="0"/>
    </xf>
    <xf numFmtId="3" fontId="24" fillId="0" borderId="58" xfId="0" applyNumberFormat="1" applyFont="1" applyFill="1" applyBorder="1" applyAlignment="1" applyProtection="1">
      <alignment horizontal="right" vertical="center"/>
      <protection locked="0"/>
    </xf>
    <xf numFmtId="3" fontId="24" fillId="0" borderId="18" xfId="0" applyNumberFormat="1" applyFont="1" applyFill="1" applyBorder="1" applyAlignment="1" applyProtection="1">
      <alignment horizontal="right" vertical="center"/>
      <protection locked="0"/>
    </xf>
    <xf numFmtId="0" fontId="0" fillId="0" borderId="14" xfId="0" applyFill="1" applyBorder="1" applyAlignment="1">
      <alignment vertical="center"/>
    </xf>
    <xf numFmtId="166" fontId="23" fillId="0" borderId="14" xfId="0" applyNumberFormat="1" applyFont="1" applyFill="1" applyBorder="1" applyAlignment="1">
      <alignment vertical="center" wrapText="1"/>
    </xf>
    <xf numFmtId="166" fontId="23" fillId="0" borderId="19" xfId="0" applyNumberFormat="1" applyFont="1" applyFill="1" applyBorder="1" applyAlignment="1">
      <alignment vertical="center" wrapText="1"/>
    </xf>
    <xf numFmtId="0" fontId="37" fillId="0" borderId="0" xfId="24" applyFill="1" applyProtection="1"/>
    <xf numFmtId="0" fontId="46" fillId="0" borderId="0" xfId="24" applyFont="1" applyFill="1" applyProtection="1"/>
    <xf numFmtId="0" fontId="37" fillId="0" borderId="0" xfId="24" applyFill="1" applyAlignment="1" applyProtection="1">
      <alignment horizontal="center" vertical="center"/>
    </xf>
    <xf numFmtId="0" fontId="22" fillId="0" borderId="11" xfId="24" applyFont="1" applyFill="1" applyBorder="1" applyAlignment="1" applyProtection="1">
      <alignment vertical="center" wrapText="1"/>
    </xf>
    <xf numFmtId="176" fontId="17" fillId="0" borderId="4" xfId="23" applyNumberFormat="1" applyFont="1" applyFill="1" applyBorder="1" applyAlignment="1" applyProtection="1">
      <alignment horizontal="center" vertical="center"/>
    </xf>
    <xf numFmtId="177" fontId="50" fillId="0" borderId="4" xfId="24" applyNumberFormat="1" applyFont="1" applyFill="1" applyBorder="1" applyAlignment="1" applyProtection="1">
      <alignment horizontal="right" vertical="center" wrapText="1"/>
      <protection locked="0"/>
    </xf>
    <xf numFmtId="177" fontId="50" fillId="0" borderId="36" xfId="24" applyNumberFormat="1" applyFont="1" applyFill="1" applyBorder="1" applyAlignment="1" applyProtection="1">
      <alignment horizontal="right" vertical="center" wrapText="1"/>
      <protection locked="0"/>
    </xf>
    <xf numFmtId="0" fontId="37" fillId="0" borderId="0" xfId="24" applyFill="1" applyAlignment="1" applyProtection="1">
      <alignment vertical="center"/>
    </xf>
    <xf numFmtId="0" fontId="22" fillId="0" borderId="8" xfId="24" applyFont="1" applyFill="1" applyBorder="1" applyAlignment="1" applyProtection="1">
      <alignment vertical="center" wrapText="1"/>
    </xf>
    <xf numFmtId="176" fontId="17" fillId="0" borderId="2" xfId="23" applyNumberFormat="1" applyFont="1" applyFill="1" applyBorder="1" applyAlignment="1" applyProtection="1">
      <alignment horizontal="center" vertical="center"/>
    </xf>
    <xf numFmtId="177" fontId="50" fillId="0" borderId="2" xfId="24" applyNumberFormat="1" applyFont="1" applyFill="1" applyBorder="1" applyAlignment="1" applyProtection="1">
      <alignment horizontal="right" vertical="center" wrapText="1"/>
    </xf>
    <xf numFmtId="177" fontId="50" fillId="0" borderId="17" xfId="24" applyNumberFormat="1" applyFont="1" applyFill="1" applyBorder="1" applyAlignment="1" applyProtection="1">
      <alignment horizontal="right" vertical="center" wrapText="1"/>
    </xf>
    <xf numFmtId="0" fontId="51" fillId="0" borderId="8" xfId="24" applyFont="1" applyFill="1" applyBorder="1" applyAlignment="1" applyProtection="1">
      <alignment horizontal="left" vertical="center" wrapText="1" indent="1"/>
    </xf>
    <xf numFmtId="177" fontId="52" fillId="0" borderId="2" xfId="24" applyNumberFormat="1" applyFont="1" applyFill="1" applyBorder="1" applyAlignment="1" applyProtection="1">
      <alignment horizontal="right" vertical="center" wrapText="1"/>
      <protection locked="0"/>
    </xf>
    <xf numFmtId="177" fontId="52" fillId="0" borderId="17" xfId="24" applyNumberFormat="1" applyFont="1" applyFill="1" applyBorder="1" applyAlignment="1" applyProtection="1">
      <alignment horizontal="right" vertical="center" wrapText="1"/>
      <protection locked="0"/>
    </xf>
    <xf numFmtId="177" fontId="53" fillId="0" borderId="2" xfId="24" applyNumberFormat="1" applyFont="1" applyFill="1" applyBorder="1" applyAlignment="1" applyProtection="1">
      <alignment horizontal="right" vertical="center" wrapText="1"/>
      <protection locked="0"/>
    </xf>
    <xf numFmtId="177" fontId="53" fillId="0" borderId="17" xfId="24" applyNumberFormat="1" applyFont="1" applyFill="1" applyBorder="1" applyAlignment="1" applyProtection="1">
      <alignment horizontal="right" vertical="center" wrapText="1"/>
      <protection locked="0"/>
    </xf>
    <xf numFmtId="177" fontId="53" fillId="0" borderId="2" xfId="24" applyNumberFormat="1" applyFont="1" applyFill="1" applyBorder="1" applyAlignment="1" applyProtection="1">
      <alignment horizontal="right" vertical="center" wrapText="1"/>
    </xf>
    <xf numFmtId="177" fontId="53" fillId="0" borderId="17" xfId="24" applyNumberFormat="1" applyFont="1" applyFill="1" applyBorder="1" applyAlignment="1" applyProtection="1">
      <alignment horizontal="right" vertical="center" wrapText="1"/>
    </xf>
    <xf numFmtId="0" fontId="22" fillId="0" borderId="12" xfId="24" applyFont="1" applyFill="1" applyBorder="1" applyAlignment="1" applyProtection="1">
      <alignment vertical="center" wrapText="1"/>
    </xf>
    <xf numFmtId="176" fontId="17" fillId="0" borderId="20" xfId="23" applyNumberFormat="1" applyFont="1" applyFill="1" applyBorder="1" applyAlignment="1" applyProtection="1">
      <alignment horizontal="center" vertical="center"/>
    </xf>
    <xf numFmtId="177" fontId="50" fillId="0" borderId="20" xfId="24" applyNumberFormat="1" applyFont="1" applyFill="1" applyBorder="1" applyAlignment="1" applyProtection="1">
      <alignment horizontal="right" vertical="center" wrapText="1"/>
    </xf>
    <xf numFmtId="177" fontId="50" fillId="0" borderId="49" xfId="24" applyNumberFormat="1" applyFont="1" applyFill="1" applyBorder="1" applyAlignment="1" applyProtection="1">
      <alignment horizontal="right" vertical="center" wrapText="1"/>
    </xf>
    <xf numFmtId="0" fontId="21" fillId="0" borderId="0" xfId="24" applyFont="1" applyFill="1" applyProtection="1"/>
    <xf numFmtId="3" fontId="37" fillId="0" borderId="0" xfId="24" applyNumberFormat="1" applyFont="1" applyFill="1" applyProtection="1"/>
    <xf numFmtId="3" fontId="37" fillId="0" borderId="0" xfId="24" applyNumberFormat="1" applyFont="1" applyFill="1" applyAlignment="1" applyProtection="1">
      <alignment horizontal="center"/>
    </xf>
    <xf numFmtId="0" fontId="37" fillId="0" borderId="0" xfId="24" applyFont="1" applyFill="1" applyProtection="1"/>
    <xf numFmtId="0" fontId="37" fillId="0" borderId="0" xfId="24" applyFill="1" applyAlignment="1" applyProtection="1">
      <alignment horizontal="center"/>
    </xf>
    <xf numFmtId="0" fontId="14" fillId="0" borderId="0" xfId="23" applyFill="1" applyAlignment="1" applyProtection="1">
      <alignment vertical="center"/>
    </xf>
    <xf numFmtId="0" fontId="14" fillId="0" borderId="0" xfId="23" applyFill="1" applyAlignment="1" applyProtection="1">
      <alignment vertical="center" wrapText="1"/>
    </xf>
    <xf numFmtId="0" fontId="14" fillId="0" borderId="0" xfId="23" applyFill="1" applyAlignment="1" applyProtection="1">
      <alignment horizontal="center" vertical="center"/>
    </xf>
    <xf numFmtId="49" fontId="13" fillId="0" borderId="0" xfId="23" applyNumberFormat="1" applyFont="1" applyFill="1" applyAlignment="1" applyProtection="1">
      <alignment horizontal="center" vertical="center"/>
    </xf>
    <xf numFmtId="176" fontId="17" fillId="0" borderId="3" xfId="23" applyNumberFormat="1" applyFont="1" applyFill="1" applyBorder="1" applyAlignment="1" applyProtection="1">
      <alignment horizontal="center" vertical="center"/>
    </xf>
    <xf numFmtId="178" fontId="17" fillId="0" borderId="59" xfId="23" applyNumberFormat="1" applyFont="1" applyFill="1" applyBorder="1" applyAlignment="1" applyProtection="1">
      <alignment vertical="center"/>
      <protection locked="0"/>
    </xf>
    <xf numFmtId="178" fontId="17" fillId="0" borderId="17" xfId="23" applyNumberFormat="1" applyFont="1" applyFill="1" applyBorder="1" applyAlignment="1" applyProtection="1">
      <alignment vertical="center"/>
      <protection locked="0"/>
    </xf>
    <xf numFmtId="178" fontId="16" fillId="0" borderId="17" xfId="23" applyNumberFormat="1" applyFont="1" applyFill="1" applyBorder="1" applyAlignment="1" applyProtection="1">
      <alignment vertical="center"/>
    </xf>
    <xf numFmtId="178" fontId="16" fillId="0" borderId="17" xfId="23" applyNumberFormat="1" applyFont="1" applyFill="1" applyBorder="1" applyAlignment="1" applyProtection="1">
      <alignment vertical="center"/>
      <protection locked="0"/>
    </xf>
    <xf numFmtId="0" fontId="13" fillId="0" borderId="0" xfId="23" applyFont="1" applyFill="1" applyAlignment="1" applyProtection="1">
      <alignment vertical="center"/>
    </xf>
    <xf numFmtId="0" fontId="16" fillId="0" borderId="12" xfId="23" applyFont="1" applyFill="1" applyBorder="1" applyAlignment="1" applyProtection="1">
      <alignment horizontal="left" vertical="center" wrapText="1"/>
    </xf>
    <xf numFmtId="178" fontId="16" fillId="0" borderId="49" xfId="23" applyNumberFormat="1" applyFont="1" applyFill="1" applyBorder="1" applyAlignment="1" applyProtection="1">
      <alignment vertical="center"/>
    </xf>
    <xf numFmtId="0" fontId="37" fillId="0" borderId="0" xfId="24" applyFont="1" applyFill="1" applyAlignment="1" applyProtection="1"/>
    <xf numFmtId="0" fontId="15" fillId="0" borderId="0" xfId="23" applyFont="1" applyFill="1" applyAlignment="1" applyProtection="1">
      <alignment horizontal="center" vertical="center"/>
    </xf>
    <xf numFmtId="0" fontId="37" fillId="0" borderId="0" xfId="24" applyFill="1"/>
    <xf numFmtId="0" fontId="20" fillId="0" borderId="15" xfId="24" applyFont="1" applyFill="1" applyBorder="1" applyAlignment="1">
      <alignment horizontal="center" vertical="center"/>
    </xf>
    <xf numFmtId="0" fontId="49" fillId="0" borderId="16" xfId="23" applyFont="1" applyFill="1" applyBorder="1" applyAlignment="1" applyProtection="1">
      <alignment horizontal="center" vertical="center" textRotation="90"/>
    </xf>
    <xf numFmtId="0" fontId="20" fillId="0" borderId="16" xfId="24" applyFont="1" applyFill="1" applyBorder="1" applyAlignment="1">
      <alignment horizontal="center" vertical="center" wrapText="1"/>
    </xf>
    <xf numFmtId="0" fontId="20" fillId="0" borderId="60" xfId="24" applyFont="1" applyFill="1" applyBorder="1" applyAlignment="1">
      <alignment horizontal="center" vertical="center" wrapText="1"/>
    </xf>
    <xf numFmtId="0" fontId="20" fillId="0" borderId="13" xfId="24" applyFont="1" applyFill="1" applyBorder="1" applyAlignment="1">
      <alignment horizontal="center" vertical="center"/>
    </xf>
    <xf numFmtId="0" fontId="20" fillId="0" borderId="14" xfId="24" applyFont="1" applyFill="1" applyBorder="1" applyAlignment="1">
      <alignment horizontal="center" vertical="center" wrapText="1"/>
    </xf>
    <xf numFmtId="0" fontId="20" fillId="0" borderId="19" xfId="24" applyFont="1" applyFill="1" applyBorder="1" applyAlignment="1">
      <alignment horizontal="center" vertical="center" wrapText="1"/>
    </xf>
    <xf numFmtId="0" fontId="21" fillId="0" borderId="8" xfId="24" applyFont="1" applyFill="1" applyBorder="1" applyProtection="1">
      <protection locked="0"/>
    </xf>
    <xf numFmtId="0" fontId="21" fillId="0" borderId="3" xfId="24" applyFont="1" applyFill="1" applyBorder="1" applyAlignment="1">
      <alignment horizontal="right" indent="1"/>
    </xf>
    <xf numFmtId="3" fontId="21" fillId="0" borderId="3" xfId="24" applyNumberFormat="1" applyFont="1" applyFill="1" applyBorder="1" applyProtection="1">
      <protection locked="0"/>
    </xf>
    <xf numFmtId="3" fontId="21" fillId="0" borderId="59" xfId="24" applyNumberFormat="1" applyFont="1" applyFill="1" applyBorder="1" applyProtection="1">
      <protection locked="0"/>
    </xf>
    <xf numFmtId="0" fontId="21" fillId="0" borderId="2" xfId="24" applyFont="1" applyFill="1" applyBorder="1" applyAlignment="1">
      <alignment horizontal="right" indent="1"/>
    </xf>
    <xf numFmtId="3" fontId="21" fillId="0" borderId="2" xfId="24" applyNumberFormat="1" applyFont="1" applyFill="1" applyBorder="1" applyProtection="1">
      <protection locked="0"/>
    </xf>
    <xf numFmtId="3" fontId="21" fillId="0" borderId="17" xfId="24" applyNumberFormat="1" applyFont="1" applyFill="1" applyBorder="1" applyProtection="1">
      <protection locked="0"/>
    </xf>
    <xf numFmtId="0" fontId="21" fillId="0" borderId="10" xfId="24" applyFont="1" applyFill="1" applyBorder="1" applyProtection="1">
      <protection locked="0"/>
    </xf>
    <xf numFmtId="0" fontId="21" fillId="0" borderId="6" xfId="24" applyFont="1" applyFill="1" applyBorder="1" applyAlignment="1">
      <alignment horizontal="right" indent="1"/>
    </xf>
    <xf numFmtId="3" fontId="21" fillId="0" borderId="6" xfId="24" applyNumberFormat="1" applyFont="1" applyFill="1" applyBorder="1" applyProtection="1">
      <protection locked="0"/>
    </xf>
    <xf numFmtId="3" fontId="21" fillId="0" borderId="18" xfId="24" applyNumberFormat="1" applyFont="1" applyFill="1" applyBorder="1" applyProtection="1">
      <protection locked="0"/>
    </xf>
    <xf numFmtId="0" fontId="22" fillId="0" borderId="13" xfId="24" applyFont="1" applyFill="1" applyBorder="1" applyProtection="1">
      <protection locked="0"/>
    </xf>
    <xf numFmtId="0" fontId="21" fillId="0" borderId="14" xfId="24" applyFont="1" applyFill="1" applyBorder="1" applyAlignment="1">
      <alignment horizontal="right" indent="1"/>
    </xf>
    <xf numFmtId="178" fontId="16" fillId="0" borderId="19" xfId="23" applyNumberFormat="1" applyFont="1" applyFill="1" applyBorder="1" applyAlignment="1" applyProtection="1">
      <alignment vertical="center"/>
    </xf>
    <xf numFmtId="0" fontId="21" fillId="0" borderId="9" xfId="24" applyFont="1" applyFill="1" applyBorder="1" applyProtection="1">
      <protection locked="0"/>
    </xf>
    <xf numFmtId="3" fontId="21" fillId="0" borderId="61" xfId="24" applyNumberFormat="1" applyFont="1" applyFill="1" applyBorder="1"/>
    <xf numFmtId="0" fontId="54" fillId="0" borderId="0" xfId="24" applyFont="1" applyFill="1"/>
    <xf numFmtId="0" fontId="39" fillId="0" borderId="0" xfId="24" applyFont="1" applyFill="1"/>
    <xf numFmtId="0" fontId="37" fillId="0" borderId="0" xfId="24" applyFont="1" applyFill="1"/>
    <xf numFmtId="0" fontId="37" fillId="0" borderId="0" xfId="24" applyFont="1" applyFill="1" applyAlignment="1"/>
    <xf numFmtId="0" fontId="45" fillId="0" borderId="0" xfId="24" applyFont="1" applyFill="1" applyAlignment="1">
      <alignment horizontal="center"/>
    </xf>
    <xf numFmtId="0" fontId="55" fillId="0" borderId="0" xfId="0" applyFont="1" applyAlignment="1" applyProtection="1">
      <alignment horizontal="center"/>
    </xf>
    <xf numFmtId="168" fontId="57" fillId="0" borderId="59" xfId="2" applyNumberFormat="1" applyFont="1" applyBorder="1" applyAlignment="1" applyProtection="1">
      <alignment horizontal="center" vertical="top" wrapText="1"/>
      <protection locked="0"/>
    </xf>
    <xf numFmtId="0" fontId="57" fillId="0" borderId="2" xfId="0" applyFont="1" applyBorder="1" applyAlignment="1" applyProtection="1">
      <alignment horizontal="left" vertical="top" wrapText="1"/>
      <protection locked="0"/>
    </xf>
    <xf numFmtId="9" fontId="57" fillId="0" borderId="2" xfId="26" applyFont="1" applyBorder="1" applyAlignment="1" applyProtection="1">
      <alignment horizontal="center" vertical="center" wrapText="1"/>
      <protection locked="0"/>
    </xf>
    <xf numFmtId="168" fontId="57" fillId="0" borderId="2" xfId="2" applyNumberFormat="1" applyFont="1" applyBorder="1" applyAlignment="1" applyProtection="1">
      <alignment horizontal="center" vertical="center" wrapText="1"/>
      <protection locked="0"/>
    </xf>
    <xf numFmtId="168" fontId="57" fillId="0" borderId="17" xfId="2" applyNumberFormat="1" applyFont="1" applyBorder="1" applyAlignment="1" applyProtection="1">
      <alignment horizontal="center" vertical="top" wrapText="1"/>
      <protection locked="0"/>
    </xf>
    <xf numFmtId="0" fontId="57" fillId="0" borderId="6" xfId="0" applyFont="1" applyBorder="1" applyAlignment="1" applyProtection="1">
      <alignment horizontal="left" vertical="top" wrapText="1"/>
      <protection locked="0"/>
    </xf>
    <xf numFmtId="9" fontId="57" fillId="0" borderId="6" xfId="26" applyFont="1" applyBorder="1" applyAlignment="1" applyProtection="1">
      <alignment horizontal="center" vertical="center" wrapText="1"/>
      <protection locked="0"/>
    </xf>
    <xf numFmtId="168" fontId="57" fillId="0" borderId="6" xfId="2" applyNumberFormat="1" applyFont="1" applyBorder="1" applyAlignment="1" applyProtection="1">
      <alignment horizontal="center" vertical="center" wrapText="1"/>
      <protection locked="0"/>
    </xf>
    <xf numFmtId="168" fontId="57" fillId="0" borderId="18" xfId="2" applyNumberFormat="1" applyFont="1" applyBorder="1" applyAlignment="1" applyProtection="1">
      <alignment horizontal="center" vertical="top" wrapText="1"/>
      <protection locked="0"/>
    </xf>
    <xf numFmtId="0" fontId="55" fillId="4" borderId="14" xfId="0" applyFont="1" applyFill="1" applyBorder="1" applyAlignment="1" applyProtection="1">
      <alignment horizontal="center" vertical="top" wrapText="1"/>
    </xf>
    <xf numFmtId="168" fontId="57" fillId="0" borderId="14" xfId="2" applyNumberFormat="1" applyFont="1" applyBorder="1" applyAlignment="1" applyProtection="1">
      <alignment horizontal="center" vertical="center" wrapText="1"/>
    </xf>
    <xf numFmtId="168" fontId="57" fillId="0" borderId="19" xfId="2" applyNumberFormat="1" applyFont="1" applyBorder="1" applyAlignment="1" applyProtection="1">
      <alignment horizontal="center" vertical="top" wrapText="1"/>
    </xf>
    <xf numFmtId="0" fontId="42" fillId="0" borderId="0" xfId="0" applyFont="1" applyFill="1" applyAlignment="1">
      <alignment horizontal="center"/>
    </xf>
    <xf numFmtId="0" fontId="58" fillId="0" borderId="0" xfId="0" applyFont="1" applyFill="1" applyAlignment="1">
      <alignment horizontal="right"/>
    </xf>
    <xf numFmtId="0" fontId="0" fillId="0" borderId="0" xfId="0" applyFill="1" applyAlignment="1">
      <alignment horizontal="center"/>
    </xf>
    <xf numFmtId="166" fontId="29" fillId="0" borderId="22" xfId="22" applyNumberFormat="1" applyFont="1" applyFill="1" applyBorder="1" applyAlignment="1" applyProtection="1">
      <alignment vertical="center"/>
      <protection locked="0"/>
    </xf>
    <xf numFmtId="0" fontId="5" fillId="0" borderId="22" xfId="0" applyFont="1" applyFill="1" applyBorder="1" applyAlignment="1" applyProtection="1">
      <alignment horizontal="right" vertical="center"/>
      <protection locked="0"/>
    </xf>
    <xf numFmtId="0" fontId="7" fillId="0" borderId="20" xfId="22" applyFont="1" applyFill="1" applyBorder="1" applyAlignment="1" applyProtection="1">
      <alignment horizontal="center" vertical="center" wrapText="1"/>
      <protection locked="0"/>
    </xf>
    <xf numFmtId="0" fontId="16" fillId="0" borderId="13" xfId="22" applyFont="1" applyFill="1" applyBorder="1" applyAlignment="1" applyProtection="1">
      <alignment horizontal="center" vertical="center" wrapText="1"/>
      <protection locked="0"/>
    </xf>
    <xf numFmtId="0" fontId="16" fillId="0" borderId="14" xfId="22" applyFont="1" applyFill="1" applyBorder="1" applyAlignment="1" applyProtection="1">
      <alignment horizontal="center" vertical="center" wrapText="1"/>
      <protection locked="0"/>
    </xf>
    <xf numFmtId="0" fontId="16" fillId="0" borderId="19" xfId="22" applyFont="1" applyFill="1" applyBorder="1" applyAlignment="1" applyProtection="1">
      <alignment horizontal="center" vertical="center" wrapText="1"/>
      <protection locked="0"/>
    </xf>
    <xf numFmtId="166" fontId="9" fillId="0" borderId="0" xfId="0" applyNumberFormat="1" applyFont="1" applyFill="1" applyAlignment="1" applyProtection="1">
      <alignment horizontal="center" vertical="center" wrapText="1"/>
      <protection locked="0"/>
    </xf>
    <xf numFmtId="166" fontId="7" fillId="0" borderId="56" xfId="0" applyNumberFormat="1" applyFont="1" applyFill="1" applyBorder="1" applyAlignment="1" applyProtection="1">
      <alignment horizontal="center" vertical="center"/>
      <protection locked="0"/>
    </xf>
    <xf numFmtId="166" fontId="7" fillId="0" borderId="20" xfId="0" applyNumberFormat="1" applyFont="1" applyFill="1" applyBorder="1" applyAlignment="1" applyProtection="1">
      <alignment horizontal="center" vertical="center"/>
      <protection locked="0"/>
    </xf>
    <xf numFmtId="166" fontId="7" fillId="0" borderId="50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3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44" xfId="0" applyFont="1" applyFill="1" applyBorder="1" applyAlignment="1" applyProtection="1">
      <alignment horizontal="center" vertical="center" wrapText="1"/>
      <protection locked="0"/>
    </xf>
    <xf numFmtId="0" fontId="23" fillId="0" borderId="44" xfId="0" applyFont="1" applyFill="1" applyBorder="1" applyAlignment="1">
      <alignment vertical="center" wrapText="1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7" fillId="0" borderId="19" xfId="0" applyFont="1" applyFill="1" applyBorder="1" applyAlignment="1" applyProtection="1">
      <alignment horizontal="center" vertical="center" wrapText="1"/>
      <protection locked="0"/>
    </xf>
    <xf numFmtId="0" fontId="44" fillId="0" borderId="13" xfId="0" applyFont="1" applyFill="1" applyBorder="1" applyAlignment="1" applyProtection="1">
      <alignment horizontal="center" vertical="center" wrapText="1"/>
      <protection locked="0"/>
    </xf>
    <xf numFmtId="0" fontId="44" fillId="0" borderId="14" xfId="0" applyFont="1" applyFill="1" applyBorder="1" applyAlignment="1" applyProtection="1">
      <alignment horizontal="center" vertical="center" wrapText="1"/>
      <protection locked="0"/>
    </xf>
    <xf numFmtId="0" fontId="44" fillId="0" borderId="19" xfId="0" applyFont="1" applyFill="1" applyBorder="1" applyAlignment="1" applyProtection="1">
      <alignment horizontal="center" vertical="center" wrapText="1"/>
      <protection locked="0"/>
    </xf>
    <xf numFmtId="0" fontId="43" fillId="0" borderId="0" xfId="0" applyFont="1" applyFill="1" applyAlignment="1" applyProtection="1">
      <alignment horizontal="right"/>
      <protection locked="0"/>
    </xf>
    <xf numFmtId="0" fontId="37" fillId="0" borderId="0" xfId="24" applyFill="1" applyProtection="1">
      <protection locked="0"/>
    </xf>
    <xf numFmtId="0" fontId="46" fillId="0" borderId="0" xfId="24" applyFont="1" applyFill="1" applyProtection="1">
      <protection locked="0"/>
    </xf>
    <xf numFmtId="0" fontId="38" fillId="0" borderId="12" xfId="24" applyFont="1" applyFill="1" applyBorder="1" applyAlignment="1" applyProtection="1">
      <alignment horizontal="center" vertical="center" wrapText="1"/>
      <protection locked="0"/>
    </xf>
    <xf numFmtId="0" fontId="38" fillId="0" borderId="20" xfId="24" applyFont="1" applyFill="1" applyBorder="1" applyAlignment="1" applyProtection="1">
      <alignment horizontal="center" vertical="center" wrapText="1"/>
      <protection locked="0"/>
    </xf>
    <xf numFmtId="0" fontId="38" fillId="0" borderId="49" xfId="24" applyFont="1" applyFill="1" applyBorder="1" applyAlignment="1" applyProtection="1">
      <alignment horizontal="center" vertical="center" wrapText="1"/>
      <protection locked="0"/>
    </xf>
    <xf numFmtId="0" fontId="14" fillId="0" borderId="0" xfId="23" applyFill="1" applyAlignment="1" applyProtection="1">
      <alignment vertical="center" wrapText="1"/>
      <protection locked="0"/>
    </xf>
    <xf numFmtId="0" fontId="15" fillId="0" borderId="0" xfId="23" applyFont="1" applyFill="1" applyAlignment="1" applyProtection="1">
      <alignment horizontal="center" vertical="center"/>
      <protection locked="0"/>
    </xf>
    <xf numFmtId="0" fontId="14" fillId="0" borderId="0" xfId="23" applyFill="1" applyAlignment="1" applyProtection="1">
      <alignment vertical="center"/>
      <protection locked="0"/>
    </xf>
    <xf numFmtId="49" fontId="16" fillId="0" borderId="12" xfId="23" applyNumberFormat="1" applyFont="1" applyFill="1" applyBorder="1" applyAlignment="1" applyProtection="1">
      <alignment horizontal="center" vertical="center" wrapText="1"/>
      <protection locked="0"/>
    </xf>
    <xf numFmtId="49" fontId="16" fillId="0" borderId="20" xfId="23" applyNumberFormat="1" applyFont="1" applyFill="1" applyBorder="1" applyAlignment="1" applyProtection="1">
      <alignment horizontal="center" vertical="center"/>
      <protection locked="0"/>
    </xf>
    <xf numFmtId="49" fontId="16" fillId="0" borderId="49" xfId="23" applyNumberFormat="1" applyFont="1" applyFill="1" applyBorder="1" applyAlignment="1" applyProtection="1">
      <alignment horizontal="center" vertical="center"/>
      <protection locked="0"/>
    </xf>
    <xf numFmtId="0" fontId="37" fillId="0" borderId="0" xfId="24" applyFill="1" applyAlignment="1"/>
    <xf numFmtId="0" fontId="60" fillId="0" borderId="9" xfId="0" applyFont="1" applyBorder="1" applyAlignment="1" applyProtection="1">
      <alignment horizontal="center" vertical="top" wrapText="1"/>
    </xf>
    <xf numFmtId="0" fontId="60" fillId="0" borderId="8" xfId="0" applyFont="1" applyBorder="1" applyAlignment="1" applyProtection="1">
      <alignment horizontal="center" vertical="top" wrapText="1"/>
    </xf>
    <xf numFmtId="0" fontId="60" fillId="0" borderId="10" xfId="0" applyFont="1" applyBorder="1" applyAlignment="1" applyProtection="1">
      <alignment horizontal="center" vertical="top" wrapText="1"/>
    </xf>
    <xf numFmtId="0" fontId="0" fillId="0" borderId="0" xfId="0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6" fillId="0" borderId="13" xfId="0" applyFont="1" applyBorder="1" applyAlignment="1" applyProtection="1">
      <alignment horizontal="center" vertical="center" wrapText="1"/>
      <protection locked="0"/>
    </xf>
    <xf numFmtId="0" fontId="55" fillId="0" borderId="14" xfId="0" applyFont="1" applyBorder="1" applyAlignment="1" applyProtection="1">
      <alignment horizontal="center" vertical="center" wrapText="1"/>
      <protection locked="0"/>
    </xf>
    <xf numFmtId="0" fontId="55" fillId="0" borderId="19" xfId="0" applyFont="1" applyBorder="1" applyAlignment="1" applyProtection="1">
      <alignment horizontal="center" vertical="center" wrapText="1"/>
      <protection locked="0"/>
    </xf>
    <xf numFmtId="0" fontId="76" fillId="0" borderId="0" xfId="0" applyFont="1"/>
    <xf numFmtId="0" fontId="76" fillId="0" borderId="0" xfId="0" applyFont="1" applyAlignment="1">
      <alignment horizontal="justify" vertical="top" wrapText="1"/>
    </xf>
    <xf numFmtId="0" fontId="77" fillId="6" borderId="0" xfId="0" applyFont="1" applyFill="1" applyAlignment="1">
      <alignment horizontal="center" vertical="center"/>
    </xf>
    <xf numFmtId="0" fontId="77" fillId="6" borderId="0" xfId="0" applyFont="1" applyFill="1" applyAlignment="1">
      <alignment horizontal="center" vertical="top" wrapText="1"/>
    </xf>
    <xf numFmtId="0" fontId="61" fillId="0" borderId="0" xfId="0" applyFont="1"/>
    <xf numFmtId="0" fontId="75" fillId="0" borderId="0" xfId="15" applyAlignment="1" applyProtection="1"/>
    <xf numFmtId="166" fontId="78" fillId="0" borderId="0" xfId="0" applyNumberFormat="1" applyFont="1" applyFill="1" applyAlignment="1" applyProtection="1">
      <alignment horizontal="right" vertical="center" wrapText="1" indent="1"/>
    </xf>
    <xf numFmtId="166" fontId="79" fillId="0" borderId="0" xfId="22" applyNumberFormat="1" applyFont="1" applyFill="1" applyProtection="1"/>
    <xf numFmtId="166" fontId="79" fillId="0" borderId="0" xfId="22" applyNumberFormat="1" applyFont="1" applyFill="1" applyAlignment="1" applyProtection="1">
      <alignment horizontal="right" vertical="center" indent="1"/>
    </xf>
    <xf numFmtId="0" fontId="41" fillId="0" borderId="0" xfId="0" applyFont="1" applyAlignment="1" applyProtection="1">
      <alignment horizontal="right" vertical="top"/>
      <protection locked="0"/>
    </xf>
    <xf numFmtId="0" fontId="20" fillId="0" borderId="62" xfId="0" applyFont="1" applyFill="1" applyBorder="1" applyAlignment="1" applyProtection="1">
      <alignment horizontal="center" vertical="center" wrapText="1"/>
    </xf>
    <xf numFmtId="0" fontId="20" fillId="0" borderId="63" xfId="0" applyFont="1" applyFill="1" applyBorder="1" applyAlignment="1" applyProtection="1">
      <alignment horizontal="center" vertical="center" wrapText="1"/>
    </xf>
    <xf numFmtId="0" fontId="20" fillId="0" borderId="38" xfId="0" applyFont="1" applyFill="1" applyBorder="1" applyAlignment="1" applyProtection="1">
      <alignment horizontal="center" vertical="center" wrapText="1"/>
    </xf>
    <xf numFmtId="0" fontId="63" fillId="0" borderId="0" xfId="0" applyFont="1" applyFill="1" applyAlignment="1">
      <alignment vertical="center"/>
    </xf>
    <xf numFmtId="0" fontId="20" fillId="0" borderId="50" xfId="0" applyFont="1" applyFill="1" applyBorder="1" applyAlignment="1" applyProtection="1">
      <alignment vertical="center" wrapText="1"/>
    </xf>
    <xf numFmtId="166" fontId="20" fillId="0" borderId="34" xfId="0" applyNumberFormat="1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Alignment="1" applyProtection="1">
      <alignment horizontal="center" vertical="center" wrapText="1"/>
    </xf>
    <xf numFmtId="166" fontId="5" fillId="0" borderId="0" xfId="0" applyNumberFormat="1" applyFont="1" applyFill="1" applyAlignment="1" applyProtection="1">
      <alignment horizontal="right" vertical="center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19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17" fillId="0" borderId="9" xfId="0" applyFont="1" applyFill="1" applyBorder="1" applyAlignment="1" applyProtection="1">
      <alignment horizontal="right" vertical="center" wrapText="1" indent="1"/>
    </xf>
    <xf numFmtId="0" fontId="17" fillId="0" borderId="3" xfId="0" applyFont="1" applyFill="1" applyBorder="1" applyAlignment="1" applyProtection="1">
      <alignment horizontal="left" vertical="center" wrapText="1"/>
      <protection locked="0"/>
    </xf>
    <xf numFmtId="166" fontId="17" fillId="0" borderId="3" xfId="0" applyNumberFormat="1" applyFont="1" applyFill="1" applyBorder="1" applyAlignment="1" applyProtection="1">
      <alignment vertical="center" wrapText="1"/>
      <protection locked="0"/>
    </xf>
    <xf numFmtId="166" fontId="17" fillId="0" borderId="3" xfId="0" applyNumberFormat="1" applyFont="1" applyFill="1" applyBorder="1" applyAlignment="1" applyProtection="1">
      <alignment vertical="center" wrapText="1"/>
    </xf>
    <xf numFmtId="166" fontId="17" fillId="0" borderId="59" xfId="0" applyNumberFormat="1" applyFont="1" applyFill="1" applyBorder="1" applyAlignment="1" applyProtection="1">
      <alignment vertical="center" wrapText="1"/>
      <protection locked="0"/>
    </xf>
    <xf numFmtId="0" fontId="17" fillId="0" borderId="8" xfId="0" applyFont="1" applyFill="1" applyBorder="1" applyAlignment="1" applyProtection="1">
      <alignment horizontal="right" vertical="center" wrapText="1" indent="1"/>
    </xf>
    <xf numFmtId="0" fontId="17" fillId="0" borderId="2" xfId="0" applyFont="1" applyFill="1" applyBorder="1" applyAlignment="1" applyProtection="1">
      <alignment horizontal="left" vertical="center" wrapText="1"/>
      <protection locked="0"/>
    </xf>
    <xf numFmtId="0" fontId="0" fillId="7" borderId="0" xfId="0" applyFill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/>
    <xf numFmtId="0" fontId="18" fillId="0" borderId="0" xfId="17" applyFont="1" applyAlignment="1">
      <alignment horizontal="center" vertical="center"/>
    </xf>
    <xf numFmtId="0" fontId="18" fillId="0" borderId="0" xfId="17" applyFont="1" applyAlignment="1" applyProtection="1">
      <alignment horizontal="center" vertical="center"/>
      <protection locked="0"/>
    </xf>
    <xf numFmtId="166" fontId="9" fillId="0" borderId="0" xfId="17" applyNumberFormat="1" applyFont="1" applyAlignment="1" applyProtection="1">
      <alignment vertical="center" wrapText="1"/>
      <protection locked="0"/>
    </xf>
    <xf numFmtId="166" fontId="16" fillId="0" borderId="34" xfId="17" applyNumberFormat="1" applyFont="1" applyBorder="1" applyAlignment="1">
      <alignment horizontal="center" vertical="center" wrapText="1"/>
    </xf>
    <xf numFmtId="166" fontId="7" fillId="0" borderId="34" xfId="17" applyNumberFormat="1" applyFont="1" applyBorder="1" applyAlignment="1">
      <alignment horizontal="center" vertical="center" wrapText="1"/>
    </xf>
    <xf numFmtId="166" fontId="65" fillId="0" borderId="64" xfId="17" applyNumberFormat="1" applyFont="1" applyBorder="1" applyAlignment="1">
      <alignment horizontal="center" vertical="center"/>
    </xf>
    <xf numFmtId="166" fontId="65" fillId="0" borderId="34" xfId="17" applyNumberFormat="1" applyFont="1" applyBorder="1" applyAlignment="1">
      <alignment horizontal="center" vertical="center"/>
    </xf>
    <xf numFmtId="166" fontId="65" fillId="0" borderId="65" xfId="17" applyNumberFormat="1" applyFont="1" applyBorder="1" applyAlignment="1">
      <alignment horizontal="center" vertical="center"/>
    </xf>
    <xf numFmtId="166" fontId="65" fillId="0" borderId="34" xfId="17" applyNumberFormat="1" applyFont="1" applyBorder="1" applyAlignment="1">
      <alignment horizontal="center" vertical="center" wrapText="1"/>
    </xf>
    <xf numFmtId="166" fontId="65" fillId="0" borderId="65" xfId="17" applyNumberFormat="1" applyFont="1" applyBorder="1" applyAlignment="1">
      <alignment horizontal="center" vertical="center" wrapText="1"/>
    </xf>
    <xf numFmtId="49" fontId="24" fillId="0" borderId="66" xfId="17" applyNumberFormat="1" applyFont="1" applyBorder="1" applyAlignment="1">
      <alignment horizontal="left" vertical="center"/>
    </xf>
    <xf numFmtId="49" fontId="27" fillId="0" borderId="67" xfId="17" quotePrefix="1" applyNumberFormat="1" applyFont="1" applyBorder="1" applyAlignment="1">
      <alignment horizontal="left" vertical="center"/>
    </xf>
    <xf numFmtId="49" fontId="24" fillId="0" borderId="67" xfId="17" applyNumberFormat="1" applyFont="1" applyBorder="1" applyAlignment="1">
      <alignment horizontal="left" vertical="center"/>
    </xf>
    <xf numFmtId="49" fontId="23" fillId="0" borderId="50" xfId="17" applyNumberFormat="1" applyFont="1" applyBorder="1" applyAlignment="1" applyProtection="1">
      <alignment horizontal="left" vertical="center"/>
      <protection locked="0"/>
    </xf>
    <xf numFmtId="49" fontId="24" fillId="0" borderId="9" xfId="17" applyNumberFormat="1" applyFont="1" applyBorder="1" applyAlignment="1">
      <alignment horizontal="left" vertical="center"/>
    </xf>
    <xf numFmtId="49" fontId="24" fillId="0" borderId="8" xfId="17" applyNumberFormat="1" applyFont="1" applyBorder="1" applyAlignment="1">
      <alignment horizontal="left" vertical="center"/>
    </xf>
    <xf numFmtId="49" fontId="24" fillId="0" borderId="10" xfId="17" applyNumberFormat="1" applyFont="1" applyBorder="1" applyAlignment="1" applyProtection="1">
      <alignment horizontal="left" vertical="center"/>
      <protection locked="0"/>
    </xf>
    <xf numFmtId="175" fontId="16" fillId="0" borderId="34" xfId="17" applyNumberFormat="1" applyFont="1" applyBorder="1" applyAlignment="1">
      <alignment horizontal="left" vertical="center" wrapText="1"/>
    </xf>
    <xf numFmtId="175" fontId="38" fillId="0" borderId="0" xfId="17" applyNumberFormat="1" applyFont="1" applyAlignment="1" applyProtection="1">
      <alignment horizontal="left" vertical="center" wrapText="1"/>
      <protection locked="0"/>
    </xf>
    <xf numFmtId="0" fontId="80" fillId="0" borderId="0" xfId="0" applyFont="1"/>
    <xf numFmtId="166" fontId="26" fillId="0" borderId="0" xfId="17" applyNumberFormat="1" applyFont="1" applyBorder="1" applyAlignment="1">
      <alignment horizontal="left" vertical="center" wrapText="1"/>
    </xf>
    <xf numFmtId="166" fontId="23" fillId="0" borderId="0" xfId="17" applyNumberFormat="1" applyFont="1" applyBorder="1" applyAlignment="1">
      <alignment horizontal="right" vertical="center" wrapText="1"/>
    </xf>
    <xf numFmtId="166" fontId="24" fillId="0" borderId="63" xfId="17" applyNumberFormat="1" applyFont="1" applyBorder="1" applyAlignment="1" applyProtection="1">
      <alignment horizontal="right" vertical="center" indent="1"/>
      <protection locked="0"/>
    </xf>
    <xf numFmtId="166" fontId="24" fillId="0" borderId="63" xfId="17" applyNumberFormat="1" applyFont="1" applyBorder="1" applyAlignment="1" applyProtection="1">
      <alignment horizontal="right" vertical="center" wrapText="1" indent="1"/>
      <protection locked="0"/>
    </xf>
    <xf numFmtId="166" fontId="24" fillId="0" borderId="57" xfId="17" applyNumberFormat="1" applyFont="1" applyBorder="1" applyAlignment="1" applyProtection="1">
      <alignment horizontal="right" vertical="center" wrapText="1" indent="1"/>
      <protection locked="0"/>
    </xf>
    <xf numFmtId="166" fontId="23" fillId="0" borderId="57" xfId="17" applyNumberFormat="1" applyFont="1" applyBorder="1" applyAlignment="1">
      <alignment horizontal="right" vertical="center" wrapText="1" indent="1"/>
    </xf>
    <xf numFmtId="166" fontId="27" fillId="0" borderId="32" xfId="17" applyNumberFormat="1" applyFont="1" applyBorder="1" applyAlignment="1" applyProtection="1">
      <alignment horizontal="right" vertical="center" wrapText="1" indent="1"/>
      <protection locked="0"/>
    </xf>
    <xf numFmtId="166" fontId="24" fillId="0" borderId="32" xfId="17" applyNumberFormat="1" applyFont="1" applyBorder="1" applyAlignment="1" applyProtection="1">
      <alignment horizontal="right" vertical="center" wrapText="1" indent="1"/>
      <protection locked="0"/>
    </xf>
    <xf numFmtId="166" fontId="23" fillId="0" borderId="32" xfId="17" applyNumberFormat="1" applyFont="1" applyBorder="1" applyAlignment="1">
      <alignment horizontal="right" vertical="center" wrapText="1" indent="1"/>
    </xf>
    <xf numFmtId="166" fontId="23" fillId="0" borderId="34" xfId="17" applyNumberFormat="1" applyFont="1" applyBorder="1" applyAlignment="1">
      <alignment horizontal="right" vertical="center" indent="1"/>
    </xf>
    <xf numFmtId="166" fontId="23" fillId="0" borderId="34" xfId="17" applyNumberFormat="1" applyFont="1" applyBorder="1" applyAlignment="1">
      <alignment horizontal="right" vertical="center" wrapText="1" indent="1"/>
    </xf>
    <xf numFmtId="166" fontId="24" fillId="0" borderId="68" xfId="17" applyNumberFormat="1" applyFont="1" applyBorder="1" applyAlignment="1" applyProtection="1">
      <alignment horizontal="right" vertical="center" wrapText="1" indent="1"/>
      <protection locked="0"/>
    </xf>
    <xf numFmtId="166" fontId="23" fillId="0" borderId="69" xfId="17" applyNumberFormat="1" applyFont="1" applyBorder="1" applyAlignment="1">
      <alignment horizontal="right" vertical="center" wrapText="1" indent="1"/>
    </xf>
    <xf numFmtId="166" fontId="23" fillId="0" borderId="63" xfId="17" applyNumberFormat="1" applyFont="1" applyBorder="1" applyAlignment="1" applyProtection="1">
      <alignment horizontal="right" vertical="center" wrapText="1" indent="1"/>
      <protection locked="0"/>
    </xf>
    <xf numFmtId="166" fontId="66" fillId="0" borderId="32" xfId="17" applyNumberFormat="1" applyFont="1" applyBorder="1" applyAlignment="1" applyProtection="1">
      <alignment horizontal="right" vertical="center" wrapText="1" indent="1"/>
      <protection locked="0"/>
    </xf>
    <xf numFmtId="166" fontId="23" fillId="0" borderId="32" xfId="17" applyNumberFormat="1" applyFont="1" applyBorder="1" applyAlignment="1" applyProtection="1">
      <alignment horizontal="right" vertical="center" wrapText="1" indent="1"/>
      <protection locked="0"/>
    </xf>
    <xf numFmtId="166" fontId="24" fillId="0" borderId="63" xfId="17" applyNumberFormat="1" applyFont="1" applyBorder="1" applyAlignment="1" applyProtection="1">
      <alignment horizontal="right" vertical="center" indent="1"/>
    </xf>
    <xf numFmtId="166" fontId="27" fillId="0" borderId="32" xfId="17" applyNumberFormat="1" applyFont="1" applyBorder="1" applyAlignment="1" applyProtection="1">
      <alignment horizontal="right" vertical="center" indent="1"/>
    </xf>
    <xf numFmtId="166" fontId="24" fillId="0" borderId="32" xfId="17" applyNumberFormat="1" applyFont="1" applyBorder="1" applyAlignment="1" applyProtection="1">
      <alignment horizontal="right" vertical="center" indent="1"/>
    </xf>
    <xf numFmtId="166" fontId="23" fillId="0" borderId="34" xfId="17" applyNumberFormat="1" applyFont="1" applyBorder="1" applyAlignment="1" applyProtection="1">
      <alignment horizontal="right" vertical="center" indent="1"/>
    </xf>
    <xf numFmtId="166" fontId="24" fillId="0" borderId="68" xfId="17" applyNumberFormat="1" applyFont="1" applyBorder="1" applyAlignment="1" applyProtection="1">
      <alignment horizontal="right" vertical="center" indent="1"/>
    </xf>
    <xf numFmtId="3" fontId="21" fillId="0" borderId="61" xfId="24" applyNumberFormat="1" applyFont="1" applyFill="1" applyBorder="1" applyProtection="1">
      <protection locked="0"/>
    </xf>
    <xf numFmtId="0" fontId="21" fillId="0" borderId="3" xfId="0" applyFont="1" applyBorder="1" applyAlignment="1" applyProtection="1">
      <alignment horizontal="left" wrapText="1" indent="1"/>
      <protection locked="0"/>
    </xf>
    <xf numFmtId="0" fontId="21" fillId="0" borderId="2" xfId="0" applyFont="1" applyBorder="1" applyAlignment="1" applyProtection="1">
      <alignment horizontal="left" wrapText="1" indent="1"/>
      <protection locked="0"/>
    </xf>
    <xf numFmtId="0" fontId="80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center"/>
      <protection locked="0"/>
    </xf>
    <xf numFmtId="0" fontId="26" fillId="0" borderId="81" xfId="0" applyFont="1" applyBorder="1" applyProtection="1">
      <protection locked="0"/>
    </xf>
    <xf numFmtId="0" fontId="28" fillId="0" borderId="0" xfId="0" applyFont="1" applyProtection="1">
      <protection locked="0"/>
    </xf>
    <xf numFmtId="166" fontId="17" fillId="0" borderId="1" xfId="22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13" xfId="22" applyFont="1" applyFill="1" applyBorder="1" applyAlignment="1" applyProtection="1">
      <alignment horizontal="left" vertical="center" wrapText="1" indent="1"/>
    </xf>
    <xf numFmtId="0" fontId="17" fillId="0" borderId="14" xfId="22" applyFont="1" applyFill="1" applyBorder="1" applyAlignment="1" applyProtection="1">
      <alignment horizontal="left" vertical="center" wrapText="1"/>
    </xf>
    <xf numFmtId="166" fontId="17" fillId="0" borderId="14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5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7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8" xfId="22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3" xfId="22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3" xfId="22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2" xfId="22" applyNumberFormat="1" applyFont="1" applyFill="1" applyBorder="1" applyAlignment="1" applyProtection="1">
      <alignment horizontal="right" vertical="center" wrapText="1" indent="1"/>
      <protection locked="0"/>
    </xf>
    <xf numFmtId="3" fontId="24" fillId="0" borderId="20" xfId="22" applyNumberFormat="1" applyFont="1" applyFill="1" applyBorder="1" applyAlignment="1" applyProtection="1">
      <alignment horizontal="right" vertical="center" wrapText="1" indent="1"/>
      <protection locked="0"/>
    </xf>
    <xf numFmtId="168" fontId="17" fillId="0" borderId="70" xfId="2" applyNumberFormat="1" applyFont="1" applyFill="1" applyBorder="1" applyAlignment="1" applyProtection="1">
      <alignment horizontal="right" vertical="center" wrapText="1" indent="1"/>
      <protection locked="0"/>
    </xf>
    <xf numFmtId="168" fontId="17" fillId="0" borderId="30" xfId="2" applyNumberFormat="1" applyFont="1" applyFill="1" applyBorder="1" applyAlignment="1" applyProtection="1">
      <alignment horizontal="right" vertical="center" wrapText="1" indent="1"/>
      <protection locked="0"/>
    </xf>
    <xf numFmtId="3" fontId="17" fillId="0" borderId="4" xfId="22" applyNumberFormat="1" applyFont="1" applyFill="1" applyBorder="1" applyAlignment="1" applyProtection="1">
      <alignment horizontal="right" vertical="center" wrapText="1" indent="1"/>
      <protection locked="0"/>
    </xf>
    <xf numFmtId="3" fontId="17" fillId="0" borderId="2" xfId="22" applyNumberFormat="1" applyFont="1" applyFill="1" applyBorder="1" applyAlignment="1" applyProtection="1">
      <alignment horizontal="right" vertical="center" wrapText="1" indent="1"/>
      <protection locked="0"/>
    </xf>
    <xf numFmtId="168" fontId="17" fillId="0" borderId="2" xfId="2" applyNumberFormat="1" applyFont="1" applyFill="1" applyBorder="1" applyAlignment="1" applyProtection="1">
      <alignment horizontal="right" vertical="center" wrapText="1" indent="1"/>
      <protection locked="0"/>
    </xf>
    <xf numFmtId="166" fontId="36" fillId="0" borderId="0" xfId="0" applyNumberFormat="1" applyFont="1" applyFill="1" applyAlignment="1" applyProtection="1">
      <alignment horizontal="right" vertical="center" wrapText="1" indent="1"/>
    </xf>
    <xf numFmtId="166" fontId="10" fillId="0" borderId="0" xfId="22" applyNumberFormat="1" applyFill="1" applyProtection="1"/>
    <xf numFmtId="3" fontId="70" fillId="0" borderId="0" xfId="19" applyNumberFormat="1" applyFont="1" applyAlignment="1">
      <alignment horizontal="right" vertical="top" wrapText="1"/>
    </xf>
    <xf numFmtId="3" fontId="10" fillId="0" borderId="0" xfId="22" applyNumberFormat="1" applyFill="1" applyProtection="1"/>
    <xf numFmtId="166" fontId="19" fillId="0" borderId="0" xfId="0" applyNumberFormat="1" applyFont="1" applyFill="1" applyAlignment="1" applyProtection="1">
      <alignment vertical="center" wrapText="1"/>
      <protection locked="0"/>
    </xf>
    <xf numFmtId="0" fontId="4" fillId="0" borderId="13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/>
    </xf>
    <xf numFmtId="0" fontId="42" fillId="0" borderId="1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left" vertical="center" wrapText="1" indent="1"/>
      <protection locked="0"/>
    </xf>
    <xf numFmtId="0" fontId="0" fillId="0" borderId="8" xfId="0" applyFill="1" applyBorder="1" applyAlignment="1">
      <alignment horizontal="center" vertical="center"/>
    </xf>
    <xf numFmtId="0" fontId="59" fillId="0" borderId="2" xfId="0" applyFont="1" applyFill="1" applyBorder="1" applyAlignment="1">
      <alignment horizontal="left" vertical="center" indent="5"/>
    </xf>
    <xf numFmtId="0" fontId="14" fillId="0" borderId="2" xfId="0" applyFont="1" applyFill="1" applyBorder="1" applyAlignment="1">
      <alignment horizontal="left" vertical="center" indent="1"/>
    </xf>
    <xf numFmtId="0" fontId="0" fillId="0" borderId="10" xfId="0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 indent="1"/>
    </xf>
    <xf numFmtId="0" fontId="0" fillId="0" borderId="12" xfId="0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center" indent="1"/>
    </xf>
    <xf numFmtId="0" fontId="0" fillId="0" borderId="11" xfId="0" applyFill="1" applyBorder="1" applyAlignment="1">
      <alignment horizontal="center" vertical="center"/>
    </xf>
    <xf numFmtId="0" fontId="0" fillId="0" borderId="4" xfId="0" applyFill="1" applyBorder="1" applyAlignment="1" applyProtection="1">
      <alignment horizontal="left" vertical="center" wrapText="1" indent="1"/>
      <protection locked="0"/>
    </xf>
    <xf numFmtId="0" fontId="59" fillId="0" borderId="20" xfId="0" applyFont="1" applyFill="1" applyBorder="1" applyAlignment="1">
      <alignment horizontal="left" vertical="center" indent="5"/>
    </xf>
    <xf numFmtId="179" fontId="0" fillId="0" borderId="17" xfId="0" applyNumberFormat="1" applyFont="1" applyFill="1" applyBorder="1" applyAlignment="1" applyProtection="1">
      <alignment horizontal="right" vertical="center"/>
      <protection locked="0"/>
    </xf>
    <xf numFmtId="179" fontId="0" fillId="0" borderId="18" xfId="0" applyNumberFormat="1" applyFont="1" applyFill="1" applyBorder="1" applyAlignment="1" applyProtection="1">
      <alignment horizontal="right" vertical="center"/>
      <protection locked="0"/>
    </xf>
    <xf numFmtId="179" fontId="0" fillId="0" borderId="49" xfId="0" applyNumberFormat="1" applyFont="1" applyFill="1" applyBorder="1" applyAlignment="1" applyProtection="1">
      <alignment horizontal="right" vertical="center"/>
      <protection locked="0"/>
    </xf>
    <xf numFmtId="179" fontId="26" fillId="0" borderId="36" xfId="0" applyNumberFormat="1" applyFont="1" applyFill="1" applyBorder="1" applyAlignment="1" applyProtection="1">
      <alignment horizontal="right" vertical="center"/>
    </xf>
    <xf numFmtId="179" fontId="26" fillId="0" borderId="59" xfId="0" applyNumberFormat="1" applyFont="1" applyFill="1" applyBorder="1" applyAlignment="1" applyProtection="1">
      <alignment horizontal="right" vertical="center"/>
      <protection locked="0"/>
    </xf>
    <xf numFmtId="179" fontId="0" fillId="0" borderId="0" xfId="0" applyNumberFormat="1" applyFill="1"/>
    <xf numFmtId="166" fontId="7" fillId="0" borderId="47" xfId="0" applyNumberFormat="1" applyFont="1" applyFill="1" applyBorder="1" applyAlignment="1" applyProtection="1">
      <alignment horizontal="center" vertical="center" wrapText="1"/>
      <protection locked="0"/>
    </xf>
    <xf numFmtId="166" fontId="25" fillId="0" borderId="14" xfId="0" applyNumberFormat="1" applyFont="1" applyFill="1" applyBorder="1" applyAlignment="1">
      <alignment horizontal="left" vertical="center" wrapText="1" indent="1"/>
    </xf>
    <xf numFmtId="166" fontId="31" fillId="2" borderId="14" xfId="0" applyNumberFormat="1" applyFont="1" applyFill="1" applyBorder="1" applyAlignment="1">
      <alignment horizontal="center" vertical="center" wrapText="1"/>
    </xf>
    <xf numFmtId="166" fontId="31" fillId="2" borderId="14" xfId="0" applyNumberFormat="1" applyFont="1" applyFill="1" applyBorder="1" applyAlignment="1">
      <alignment horizontal="left" vertical="center" wrapText="1" indent="2"/>
    </xf>
    <xf numFmtId="168" fontId="25" fillId="0" borderId="14" xfId="2" applyNumberFormat="1" applyFont="1" applyFill="1" applyBorder="1" applyAlignment="1">
      <alignment vertical="center" wrapText="1"/>
    </xf>
    <xf numFmtId="167" fontId="24" fillId="0" borderId="1" xfId="0" applyNumberFormat="1" applyFont="1" applyBorder="1" applyAlignment="1" applyProtection="1">
      <alignment horizontal="center" vertical="center" wrapText="1"/>
      <protection locked="0"/>
    </xf>
    <xf numFmtId="167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24" fillId="0" borderId="1" xfId="2" applyNumberFormat="1" applyFont="1" applyFill="1" applyBorder="1" applyAlignment="1" applyProtection="1">
      <alignment vertical="center" wrapText="1"/>
      <protection locked="0"/>
    </xf>
    <xf numFmtId="168" fontId="24" fillId="0" borderId="71" xfId="2" applyNumberFormat="1" applyFont="1" applyFill="1" applyBorder="1" applyAlignment="1" applyProtection="1">
      <alignment vertical="center" wrapText="1"/>
      <protection locked="0"/>
    </xf>
    <xf numFmtId="166" fontId="24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67" fontId="24" fillId="0" borderId="3" xfId="0" applyNumberFormat="1" applyFont="1" applyFill="1" applyBorder="1" applyAlignment="1" applyProtection="1">
      <alignment horizontal="center" vertical="center" wrapText="1"/>
      <protection locked="0"/>
    </xf>
    <xf numFmtId="168" fontId="24" fillId="0" borderId="3" xfId="2" applyNumberFormat="1" applyFont="1" applyBorder="1" applyAlignment="1" applyProtection="1">
      <alignment vertical="center" wrapText="1"/>
      <protection locked="0"/>
    </xf>
    <xf numFmtId="168" fontId="24" fillId="0" borderId="59" xfId="2" applyNumberFormat="1" applyFont="1" applyBorder="1" applyAlignment="1" applyProtection="1">
      <alignment vertical="center" wrapText="1"/>
      <protection locked="0"/>
    </xf>
    <xf numFmtId="166" fontId="24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67" fontId="24" fillId="0" borderId="2" xfId="0" applyNumberFormat="1" applyFont="1" applyFill="1" applyBorder="1" applyAlignment="1" applyProtection="1">
      <alignment horizontal="center" vertical="center" wrapText="1"/>
      <protection locked="0"/>
    </xf>
    <xf numFmtId="168" fontId="24" fillId="0" borderId="2" xfId="2" applyNumberFormat="1" applyFont="1" applyBorder="1" applyAlignment="1" applyProtection="1">
      <alignment vertical="center" wrapText="1"/>
      <protection locked="0"/>
    </xf>
    <xf numFmtId="168" fontId="24" fillId="0" borderId="17" xfId="2" applyNumberFormat="1" applyFont="1" applyBorder="1" applyAlignment="1" applyProtection="1">
      <alignment vertical="center" wrapText="1"/>
      <protection locked="0"/>
    </xf>
    <xf numFmtId="166" fontId="16" fillId="0" borderId="10" xfId="0" applyNumberFormat="1" applyFont="1" applyFill="1" applyBorder="1" applyAlignment="1">
      <alignment horizontal="right" vertical="center" wrapText="1" indent="1"/>
    </xf>
    <xf numFmtId="166" fontId="16" fillId="0" borderId="9" xfId="0" applyNumberFormat="1" applyFont="1" applyFill="1" applyBorder="1" applyAlignment="1">
      <alignment horizontal="right" vertical="center" wrapText="1" indent="1"/>
    </xf>
    <xf numFmtId="168" fontId="24" fillId="0" borderId="3" xfId="2" applyNumberFormat="1" applyFont="1" applyFill="1" applyBorder="1" applyAlignment="1">
      <alignment vertical="center" wrapText="1"/>
    </xf>
    <xf numFmtId="168" fontId="25" fillId="0" borderId="19" xfId="2" applyNumberFormat="1" applyFont="1" applyFill="1" applyBorder="1" applyAlignment="1">
      <alignment vertical="center" wrapText="1"/>
    </xf>
    <xf numFmtId="167" fontId="24" fillId="0" borderId="2" xfId="0" applyNumberFormat="1" applyFont="1" applyFill="1" applyBorder="1" applyAlignment="1" applyProtection="1">
      <alignment horizontal="right" vertical="center" wrapText="1" indent="2"/>
      <protection locked="0"/>
    </xf>
    <xf numFmtId="168" fontId="24" fillId="0" borderId="59" xfId="2" applyNumberFormat="1" applyFont="1" applyFill="1" applyBorder="1" applyAlignment="1">
      <alignment vertical="center" wrapText="1"/>
    </xf>
    <xf numFmtId="167" fontId="24" fillId="0" borderId="1" xfId="0" applyNumberFormat="1" applyFont="1" applyFill="1" applyBorder="1" applyAlignment="1" applyProtection="1">
      <alignment horizontal="left" vertical="center" wrapText="1" indent="2"/>
      <protection locked="0"/>
    </xf>
    <xf numFmtId="166" fontId="15" fillId="2" borderId="14" xfId="0" applyNumberFormat="1" applyFont="1" applyFill="1" applyBorder="1" applyAlignment="1">
      <alignment horizontal="center" vertical="center" wrapText="1"/>
    </xf>
    <xf numFmtId="166" fontId="15" fillId="2" borderId="14" xfId="0" applyNumberFormat="1" applyFont="1" applyFill="1" applyBorder="1" applyAlignment="1">
      <alignment horizontal="left" vertical="center" wrapText="1" indent="2"/>
    </xf>
    <xf numFmtId="166" fontId="7" fillId="0" borderId="14" xfId="0" applyNumberFormat="1" applyFont="1" applyFill="1" applyBorder="1" applyAlignment="1">
      <alignment vertical="center" wrapText="1"/>
    </xf>
    <xf numFmtId="166" fontId="7" fillId="0" borderId="19" xfId="0" applyNumberFormat="1" applyFont="1" applyFill="1" applyBorder="1" applyAlignment="1">
      <alignment vertical="center" wrapText="1"/>
    </xf>
    <xf numFmtId="166" fontId="7" fillId="0" borderId="0" xfId="0" applyNumberFormat="1" applyFont="1" applyFill="1" applyAlignment="1">
      <alignment vertical="center"/>
    </xf>
    <xf numFmtId="166" fontId="7" fillId="0" borderId="0" xfId="0" applyNumberFormat="1" applyFont="1" applyFill="1" applyAlignment="1">
      <alignment horizontal="center" vertical="center"/>
    </xf>
    <xf numFmtId="168" fontId="57" fillId="0" borderId="2" xfId="4" applyNumberFormat="1" applyFont="1" applyBorder="1" applyAlignment="1" applyProtection="1">
      <alignment horizontal="center" vertical="center" wrapText="1"/>
      <protection locked="0"/>
    </xf>
    <xf numFmtId="0" fontId="24" fillId="0" borderId="2" xfId="0" applyFont="1" applyFill="1" applyBorder="1" applyAlignment="1" applyProtection="1">
      <alignment horizontal="left" vertical="center" wrapText="1" indent="1"/>
      <protection locked="0"/>
    </xf>
    <xf numFmtId="0" fontId="25" fillId="0" borderId="13" xfId="0" applyFont="1" applyFill="1" applyBorder="1" applyAlignment="1" applyProtection="1">
      <alignment horizontal="center" vertical="center" wrapText="1"/>
      <protection locked="0"/>
    </xf>
    <xf numFmtId="0" fontId="25" fillId="0" borderId="14" xfId="0" applyFont="1" applyFill="1" applyBorder="1" applyAlignment="1" applyProtection="1">
      <alignment horizontal="center" vertical="center"/>
      <protection locked="0"/>
    </xf>
    <xf numFmtId="0" fontId="25" fillId="0" borderId="44" xfId="0" applyFont="1" applyFill="1" applyBorder="1" applyAlignment="1" applyProtection="1">
      <alignment horizontal="center" vertical="center" wrapText="1"/>
      <protection locked="0"/>
    </xf>
    <xf numFmtId="0" fontId="25" fillId="0" borderId="19" xfId="0" applyFont="1" applyFill="1" applyBorder="1" applyAlignment="1" applyProtection="1">
      <alignment horizontal="center" vertical="center" wrapText="1"/>
      <protection locked="0"/>
    </xf>
    <xf numFmtId="168" fontId="24" fillId="0" borderId="17" xfId="1" applyNumberFormat="1" applyFont="1" applyFill="1" applyBorder="1" applyAlignment="1" applyProtection="1">
      <alignment horizontal="right" vertical="center"/>
      <protection locked="0"/>
    </xf>
    <xf numFmtId="0" fontId="31" fillId="0" borderId="0" xfId="0" applyFont="1" applyFill="1"/>
    <xf numFmtId="0" fontId="47" fillId="0" borderId="0" xfId="0" applyFont="1" applyFill="1" applyBorder="1" applyAlignment="1" applyProtection="1">
      <alignment horizontal="right"/>
    </xf>
    <xf numFmtId="0" fontId="25" fillId="0" borderId="34" xfId="0" applyFont="1" applyFill="1" applyBorder="1" applyAlignment="1">
      <alignment horizontal="center" vertical="center" wrapText="1"/>
    </xf>
    <xf numFmtId="0" fontId="25" fillId="0" borderId="34" xfId="0" applyFont="1" applyFill="1" applyBorder="1" applyAlignment="1">
      <alignment horizontal="center" vertical="center"/>
    </xf>
    <xf numFmtId="0" fontId="72" fillId="0" borderId="50" xfId="0" applyFont="1" applyFill="1" applyBorder="1" applyAlignment="1" applyProtection="1">
      <alignment horizontal="center" vertical="center" wrapText="1"/>
    </xf>
    <xf numFmtId="0" fontId="72" fillId="0" borderId="34" xfId="0" applyFont="1" applyFill="1" applyBorder="1" applyAlignment="1" applyProtection="1">
      <alignment horizontal="center" vertical="center" wrapText="1"/>
    </xf>
    <xf numFmtId="0" fontId="72" fillId="0" borderId="25" xfId="0" applyFont="1" applyFill="1" applyBorder="1" applyAlignment="1" applyProtection="1">
      <alignment horizontal="center" vertical="center" wrapText="1"/>
    </xf>
    <xf numFmtId="49" fontId="31" fillId="0" borderId="63" xfId="0" applyNumberFormat="1" applyFont="1" applyFill="1" applyBorder="1"/>
    <xf numFmtId="0" fontId="73" fillId="0" borderId="72" xfId="0" applyFont="1" applyFill="1" applyBorder="1" applyAlignment="1" applyProtection="1">
      <alignment horizontal="left" vertical="center" wrapText="1"/>
      <protection locked="0"/>
    </xf>
    <xf numFmtId="0" fontId="73" fillId="0" borderId="73" xfId="0" applyFont="1" applyFill="1" applyBorder="1" applyAlignment="1" applyProtection="1">
      <alignment horizontal="left" vertical="center" wrapText="1"/>
      <protection locked="0"/>
    </xf>
    <xf numFmtId="166" fontId="73" fillId="0" borderId="74" xfId="0" applyNumberFormat="1" applyFont="1" applyFill="1" applyBorder="1" applyAlignment="1" applyProtection="1">
      <alignment horizontal="right" vertical="center" wrapText="1"/>
      <protection locked="0"/>
    </xf>
    <xf numFmtId="49" fontId="31" fillId="0" borderId="75" xfId="0" applyNumberFormat="1" applyFont="1" applyFill="1" applyBorder="1"/>
    <xf numFmtId="0" fontId="73" fillId="0" borderId="76" xfId="0" applyFont="1" applyFill="1" applyBorder="1" applyAlignment="1" applyProtection="1">
      <alignment horizontal="left" vertical="center" wrapText="1"/>
      <protection locked="0"/>
    </xf>
    <xf numFmtId="49" fontId="31" fillId="0" borderId="77" xfId="0" applyNumberFormat="1" applyFont="1" applyFill="1" applyBorder="1"/>
    <xf numFmtId="0" fontId="73" fillId="0" borderId="78" xfId="0" applyFont="1" applyFill="1" applyBorder="1" applyAlignment="1" applyProtection="1">
      <alignment horizontal="left" vertical="center" wrapText="1"/>
      <protection locked="0"/>
    </xf>
    <xf numFmtId="0" fontId="73" fillId="0" borderId="35" xfId="0" applyFont="1" applyFill="1" applyBorder="1" applyAlignment="1" applyProtection="1">
      <alignment horizontal="left" vertical="center" wrapText="1"/>
      <protection locked="0"/>
    </xf>
    <xf numFmtId="0" fontId="31" fillId="0" borderId="34" xfId="0" applyFont="1" applyFill="1" applyBorder="1" applyAlignment="1" applyProtection="1">
      <alignment vertical="center"/>
    </xf>
    <xf numFmtId="166" fontId="20" fillId="0" borderId="25" xfId="0" applyNumberFormat="1" applyFont="1" applyFill="1" applyBorder="1" applyAlignment="1" applyProtection="1">
      <alignment horizontal="right" vertical="center" wrapText="1"/>
    </xf>
    <xf numFmtId="166" fontId="0" fillId="0" borderId="0" xfId="0" applyNumberFormat="1"/>
    <xf numFmtId="175" fontId="38" fillId="0" borderId="0" xfId="17" applyNumberFormat="1" applyFont="1" applyBorder="1" applyAlignment="1" applyProtection="1">
      <alignment horizontal="left" vertical="center" wrapText="1"/>
      <protection locked="0"/>
    </xf>
    <xf numFmtId="0" fontId="0" fillId="0" borderId="33" xfId="0" applyBorder="1" applyProtection="1">
      <protection locked="0"/>
    </xf>
    <xf numFmtId="10" fontId="0" fillId="0" borderId="0" xfId="25" applyNumberFormat="1" applyFont="1" applyFill="1" applyAlignment="1" applyProtection="1">
      <alignment vertical="center" wrapText="1"/>
    </xf>
    <xf numFmtId="0" fontId="81" fillId="0" borderId="0" xfId="0" applyFont="1" applyAlignment="1">
      <alignment horizontal="center" vertical="top" wrapText="1"/>
    </xf>
    <xf numFmtId="0" fontId="62" fillId="0" borderId="0" xfId="0" applyFont="1" applyAlignment="1">
      <alignment horizontal="center"/>
    </xf>
    <xf numFmtId="0" fontId="18" fillId="0" borderId="0" xfId="0" applyFont="1" applyAlignment="1" applyProtection="1">
      <alignment horizontal="center"/>
      <protection locked="0"/>
    </xf>
    <xf numFmtId="0" fontId="18" fillId="5" borderId="0" xfId="0" applyFont="1" applyFill="1" applyAlignment="1" applyProtection="1">
      <protection locked="0"/>
    </xf>
    <xf numFmtId="0" fontId="18" fillId="5" borderId="79" xfId="0" applyFont="1" applyFill="1" applyBorder="1" applyAlignment="1" applyProtection="1">
      <protection locked="0"/>
    </xf>
    <xf numFmtId="0" fontId="18" fillId="5" borderId="0" xfId="0" applyFont="1" applyFill="1" applyAlignment="1" applyProtection="1">
      <alignment horizontal="center"/>
      <protection locked="0"/>
    </xf>
    <xf numFmtId="0" fontId="28" fillId="7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40" fillId="0" borderId="0" xfId="22" applyFont="1" applyFill="1" applyAlignment="1" applyProtection="1">
      <alignment horizontal="right"/>
      <protection locked="0"/>
    </xf>
    <xf numFmtId="0" fontId="40" fillId="0" borderId="0" xfId="0" applyFont="1" applyAlignment="1" applyProtection="1">
      <alignment horizontal="right"/>
      <protection locked="0"/>
    </xf>
    <xf numFmtId="0" fontId="18" fillId="0" borderId="0" xfId="22" applyFont="1" applyFill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0" fontId="18" fillId="0" borderId="0" xfId="22" applyFont="1" applyFill="1" applyAlignment="1" applyProtection="1">
      <alignment horizontal="center" vertical="center"/>
      <protection locked="0"/>
    </xf>
    <xf numFmtId="166" fontId="29" fillId="0" borderId="22" xfId="22" applyNumberFormat="1" applyFont="1" applyFill="1" applyBorder="1" applyAlignment="1" applyProtection="1">
      <alignment horizontal="left" vertical="center"/>
    </xf>
    <xf numFmtId="0" fontId="7" fillId="0" borderId="15" xfId="22" applyFont="1" applyFill="1" applyBorder="1" applyAlignment="1" applyProtection="1">
      <alignment horizontal="center" vertical="center" wrapText="1"/>
    </xf>
    <xf numFmtId="0" fontId="7" fillId="0" borderId="29" xfId="22" applyFont="1" applyFill="1" applyBorder="1" applyAlignment="1" applyProtection="1">
      <alignment horizontal="center" vertical="center" wrapText="1"/>
    </xf>
    <xf numFmtId="0" fontId="7" fillId="0" borderId="16" xfId="22" applyFont="1" applyFill="1" applyBorder="1" applyAlignment="1" applyProtection="1">
      <alignment horizontal="center" vertical="center" wrapText="1"/>
    </xf>
    <xf numFmtId="0" fontId="7" fillId="0" borderId="23" xfId="22" applyFont="1" applyFill="1" applyBorder="1" applyAlignment="1" applyProtection="1">
      <alignment horizontal="center" vertical="center" wrapText="1"/>
    </xf>
    <xf numFmtId="0" fontId="7" fillId="0" borderId="80" xfId="22" applyFont="1" applyFill="1" applyBorder="1" applyAlignment="1" applyProtection="1">
      <alignment horizontal="center" vertical="center" wrapText="1"/>
    </xf>
    <xf numFmtId="0" fontId="7" fillId="0" borderId="4" xfId="22" applyFont="1" applyFill="1" applyBorder="1" applyAlignment="1" applyProtection="1">
      <alignment horizontal="center" vertical="center" wrapText="1"/>
    </xf>
    <xf numFmtId="0" fontId="7" fillId="0" borderId="36" xfId="22" applyFont="1" applyFill="1" applyBorder="1" applyAlignment="1" applyProtection="1">
      <alignment horizontal="center" vertical="center" wrapText="1"/>
    </xf>
    <xf numFmtId="0" fontId="18" fillId="0" borderId="0" xfId="22" applyFont="1" applyFill="1" applyAlignment="1" applyProtection="1">
      <alignment horizontal="center"/>
    </xf>
    <xf numFmtId="166" fontId="6" fillId="0" borderId="0" xfId="22" applyNumberFormat="1" applyFont="1" applyFill="1" applyBorder="1" applyAlignment="1" applyProtection="1">
      <alignment horizontal="center" vertical="center"/>
      <protection locked="0"/>
    </xf>
    <xf numFmtId="166" fontId="6" fillId="0" borderId="0" xfId="22" applyNumberFormat="1" applyFont="1" applyFill="1" applyBorder="1" applyAlignment="1" applyProtection="1">
      <alignment horizontal="center" vertical="center"/>
    </xf>
    <xf numFmtId="166" fontId="29" fillId="0" borderId="22" xfId="22" applyNumberFormat="1" applyFont="1" applyFill="1" applyBorder="1" applyAlignment="1" applyProtection="1">
      <alignment horizontal="left" vertical="center"/>
      <protection locked="0"/>
    </xf>
    <xf numFmtId="166" fontId="29" fillId="0" borderId="22" xfId="22" applyNumberFormat="1" applyFont="1" applyFill="1" applyBorder="1" applyAlignment="1" applyProtection="1">
      <alignment horizontal="left"/>
    </xf>
    <xf numFmtId="166" fontId="25" fillId="0" borderId="63" xfId="0" applyNumberFormat="1" applyFont="1" applyFill="1" applyBorder="1" applyAlignment="1" applyProtection="1">
      <alignment horizontal="center" vertical="center" wrapText="1"/>
      <protection locked="0"/>
    </xf>
    <xf numFmtId="166" fontId="25" fillId="0" borderId="65" xfId="0" applyNumberFormat="1" applyFont="1" applyFill="1" applyBorder="1" applyAlignment="1" applyProtection="1">
      <alignment horizontal="center" vertical="center" wrapText="1"/>
      <protection locked="0"/>
    </xf>
    <xf numFmtId="166" fontId="82" fillId="0" borderId="52" xfId="0" applyNumberFormat="1" applyFont="1" applyFill="1" applyBorder="1" applyAlignment="1" applyProtection="1">
      <alignment horizontal="center" vertical="center" wrapText="1"/>
    </xf>
    <xf numFmtId="166" fontId="40" fillId="0" borderId="0" xfId="0" applyNumberFormat="1" applyFont="1" applyFill="1" applyAlignment="1" applyProtection="1">
      <alignment horizontal="center" vertical="top" textRotation="180" wrapText="1"/>
      <protection locked="0"/>
    </xf>
    <xf numFmtId="166" fontId="18" fillId="0" borderId="0" xfId="0" applyNumberFormat="1" applyFont="1" applyFill="1" applyAlignment="1" applyProtection="1">
      <alignment horizontal="center" vertical="center" wrapText="1"/>
      <protection locked="0"/>
    </xf>
    <xf numFmtId="166" fontId="40" fillId="0" borderId="0" xfId="0" applyNumberFormat="1" applyFont="1" applyFill="1" applyAlignment="1" applyProtection="1">
      <alignment horizontal="right" vertical="top" textRotation="180" wrapText="1"/>
      <protection locked="0"/>
    </xf>
    <xf numFmtId="166" fontId="7" fillId="0" borderId="63" xfId="17" applyNumberFormat="1" applyFont="1" applyBorder="1" applyAlignment="1">
      <alignment horizontal="center" vertical="center"/>
    </xf>
    <xf numFmtId="166" fontId="7" fillId="0" borderId="35" xfId="17" applyNumberFormat="1" applyFont="1" applyBorder="1" applyAlignment="1">
      <alignment horizontal="center" vertical="center"/>
    </xf>
    <xf numFmtId="166" fontId="7" fillId="0" borderId="65" xfId="17" applyNumberFormat="1" applyFont="1" applyBorder="1" applyAlignment="1">
      <alignment horizontal="center" vertical="center"/>
    </xf>
    <xf numFmtId="166" fontId="25" fillId="0" borderId="50" xfId="17" applyNumberFormat="1" applyFont="1" applyBorder="1" applyAlignment="1">
      <alignment horizontal="center" vertical="center" wrapText="1"/>
    </xf>
    <xf numFmtId="166" fontId="25" fillId="0" borderId="47" xfId="17" applyNumberFormat="1" applyFont="1" applyBorder="1" applyAlignment="1">
      <alignment horizontal="center" vertical="center" wrapText="1"/>
    </xf>
    <xf numFmtId="166" fontId="25" fillId="0" borderId="25" xfId="17" applyNumberFormat="1" applyFont="1" applyBorder="1" applyAlignment="1">
      <alignment horizontal="center" vertical="center" wrapText="1"/>
    </xf>
    <xf numFmtId="166" fontId="4" fillId="0" borderId="63" xfId="17" applyNumberFormat="1" applyFont="1" applyBorder="1" applyAlignment="1">
      <alignment horizontal="center" vertical="center" wrapText="1"/>
    </xf>
    <xf numFmtId="166" fontId="4" fillId="0" borderId="35" xfId="17" applyNumberFormat="1" applyFont="1" applyBorder="1" applyAlignment="1">
      <alignment horizontal="center" vertical="center" wrapText="1"/>
    </xf>
    <xf numFmtId="166" fontId="4" fillId="0" borderId="65" xfId="17" applyNumberFormat="1" applyFont="1" applyBorder="1" applyAlignment="1">
      <alignment horizontal="center" vertical="center" wrapText="1"/>
    </xf>
    <xf numFmtId="166" fontId="7" fillId="0" borderId="50" xfId="17" applyNumberFormat="1" applyFont="1" applyBorder="1" applyAlignment="1">
      <alignment horizontal="center" vertical="center" wrapText="1"/>
    </xf>
    <xf numFmtId="166" fontId="7" fillId="0" borderId="47" xfId="17" applyNumberFormat="1" applyFont="1" applyBorder="1" applyAlignment="1">
      <alignment horizontal="center" vertical="center" wrapText="1"/>
    </xf>
    <xf numFmtId="166" fontId="7" fillId="0" borderId="25" xfId="17" applyNumberFormat="1" applyFont="1" applyBorder="1" applyAlignment="1">
      <alignment horizontal="center" vertical="center" wrapText="1"/>
    </xf>
    <xf numFmtId="166" fontId="7" fillId="0" borderId="63" xfId="17" applyNumberFormat="1" applyFont="1" applyBorder="1" applyAlignment="1">
      <alignment horizontal="center" vertical="center" wrapText="1"/>
    </xf>
    <xf numFmtId="166" fontId="7" fillId="0" borderId="65" xfId="17" applyNumberFormat="1" applyFont="1" applyBorder="1" applyAlignment="1">
      <alignment horizontal="center" vertical="center" wrapText="1"/>
    </xf>
    <xf numFmtId="166" fontId="16" fillId="0" borderId="50" xfId="17" applyNumberFormat="1" applyFont="1" applyBorder="1" applyAlignment="1" applyProtection="1">
      <alignment horizontal="center" vertical="center" wrapText="1"/>
    </xf>
    <xf numFmtId="166" fontId="16" fillId="0" borderId="47" xfId="17" applyNumberFormat="1" applyFont="1" applyBorder="1" applyAlignment="1" applyProtection="1">
      <alignment horizontal="center" vertical="center" wrapText="1"/>
    </xf>
    <xf numFmtId="166" fontId="16" fillId="0" borderId="25" xfId="17" applyNumberFormat="1" applyFont="1" applyBorder="1" applyAlignment="1" applyProtection="1">
      <alignment horizontal="center" vertical="center" wrapText="1"/>
    </xf>
    <xf numFmtId="175" fontId="38" fillId="0" borderId="52" xfId="17" applyNumberFormat="1" applyFont="1" applyBorder="1" applyAlignment="1" applyProtection="1">
      <alignment horizontal="left" vertical="center" wrapText="1"/>
      <protection locked="0"/>
    </xf>
    <xf numFmtId="166" fontId="28" fillId="0" borderId="0" xfId="17" applyNumberFormat="1" applyFont="1" applyAlignment="1" applyProtection="1">
      <alignment horizontal="left" vertical="center" wrapText="1"/>
      <protection locked="0"/>
    </xf>
    <xf numFmtId="166" fontId="43" fillId="0" borderId="0" xfId="17" applyNumberFormat="1" applyFont="1" applyFill="1" applyAlignment="1" applyProtection="1">
      <alignment horizontal="left" vertical="center" wrapText="1"/>
      <protection locked="0"/>
    </xf>
    <xf numFmtId="166" fontId="5" fillId="0" borderId="22" xfId="17" applyNumberFormat="1" applyFont="1" applyBorder="1" applyAlignment="1" applyProtection="1">
      <alignment horizontal="right" vertical="center"/>
      <protection locked="0"/>
    </xf>
    <xf numFmtId="0" fontId="40" fillId="0" borderId="0" xfId="17" applyFont="1" applyAlignment="1">
      <alignment horizontal="right" vertical="center"/>
    </xf>
    <xf numFmtId="0" fontId="18" fillId="0" borderId="0" xfId="17" applyFont="1" applyAlignment="1">
      <alignment horizontal="center" vertical="center"/>
    </xf>
    <xf numFmtId="0" fontId="18" fillId="0" borderId="0" xfId="17" applyFont="1" applyAlignment="1" applyProtection="1">
      <alignment horizontal="center" vertical="center"/>
      <protection locked="0"/>
    </xf>
    <xf numFmtId="0" fontId="7" fillId="0" borderId="50" xfId="0" applyFont="1" applyFill="1" applyBorder="1" applyAlignment="1" applyProtection="1">
      <alignment horizontal="center" vertical="center" wrapText="1"/>
    </xf>
    <xf numFmtId="0" fontId="7" fillId="0" borderId="47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6" fillId="0" borderId="34" xfId="0" applyFont="1" applyFill="1" applyBorder="1" applyAlignment="1" applyProtection="1">
      <alignment horizontal="center" vertical="center"/>
      <protection locked="0"/>
    </xf>
    <xf numFmtId="0" fontId="41" fillId="0" borderId="22" xfId="0" applyFont="1" applyBorder="1" applyAlignment="1" applyProtection="1">
      <alignment horizontal="right" vertical="top"/>
      <protection locked="0"/>
    </xf>
    <xf numFmtId="0" fontId="33" fillId="0" borderId="22" xfId="0" applyFont="1" applyBorder="1" applyAlignment="1" applyProtection="1">
      <protection locked="0"/>
    </xf>
    <xf numFmtId="0" fontId="6" fillId="0" borderId="44" xfId="0" applyFont="1" applyFill="1" applyBorder="1" applyAlignment="1" applyProtection="1">
      <alignment horizontal="center" vertical="center"/>
      <protection locked="0"/>
    </xf>
    <xf numFmtId="0" fontId="6" fillId="0" borderId="47" xfId="0" applyFont="1" applyFill="1" applyBorder="1" applyAlignment="1" applyProtection="1">
      <alignment horizontal="center" vertical="center"/>
      <protection locked="0"/>
    </xf>
    <xf numFmtId="0" fontId="6" fillId="0" borderId="24" xfId="0" applyFont="1" applyFill="1" applyBorder="1" applyAlignment="1" applyProtection="1">
      <alignment horizontal="center" vertical="center"/>
      <protection locked="0"/>
    </xf>
    <xf numFmtId="166" fontId="40" fillId="0" borderId="22" xfId="0" applyNumberFormat="1" applyFont="1" applyFill="1" applyBorder="1" applyAlignment="1" applyProtection="1">
      <alignment horizontal="right" vertical="center" wrapText="1"/>
      <protection locked="0"/>
    </xf>
    <xf numFmtId="0" fontId="40" fillId="0" borderId="22" xfId="0" applyFont="1" applyBorder="1" applyAlignment="1" applyProtection="1">
      <alignment horizontal="right"/>
      <protection locked="0"/>
    </xf>
    <xf numFmtId="0" fontId="6" fillId="0" borderId="44" xfId="0" applyFont="1" applyFill="1" applyBorder="1" applyAlignment="1" applyProtection="1">
      <alignment horizontal="center" vertical="center" wrapText="1"/>
      <protection locked="0"/>
    </xf>
    <xf numFmtId="0" fontId="6" fillId="0" borderId="47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7" fillId="0" borderId="50" xfId="0" applyFont="1" applyFill="1" applyBorder="1" applyAlignment="1" applyProtection="1">
      <alignment horizontal="left" vertical="center" wrapText="1" indent="1"/>
    </xf>
    <xf numFmtId="0" fontId="7" fillId="0" borderId="24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center" vertical="center" wrapText="1"/>
    </xf>
    <xf numFmtId="0" fontId="18" fillId="0" borderId="0" xfId="0" applyFont="1" applyAlignment="1">
      <alignment vertical="center" wrapText="1"/>
    </xf>
    <xf numFmtId="0" fontId="40" fillId="0" borderId="0" xfId="0" applyFont="1" applyFill="1" applyAlignment="1" applyProtection="1">
      <alignment horizontal="right" vertical="center" wrapText="1"/>
    </xf>
    <xf numFmtId="0" fontId="0" fillId="0" borderId="0" xfId="0" applyFont="1" applyAlignment="1">
      <alignment horizontal="right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25" fillId="0" borderId="14" xfId="0" applyFont="1" applyFill="1" applyBorder="1" applyAlignment="1" applyProtection="1">
      <alignment horizontal="center" vertical="center" wrapText="1"/>
    </xf>
    <xf numFmtId="0" fontId="25" fillId="0" borderId="19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0" fontId="40" fillId="0" borderId="0" xfId="0" applyFont="1" applyFill="1" applyBorder="1" applyAlignment="1">
      <alignment horizontal="center" vertical="top" textRotation="180"/>
    </xf>
    <xf numFmtId="0" fontId="20" fillId="0" borderId="22" xfId="0" applyFont="1" applyFill="1" applyBorder="1" applyAlignment="1" applyProtection="1">
      <alignment horizontal="center" vertical="center"/>
    </xf>
    <xf numFmtId="0" fontId="63" fillId="0" borderId="52" xfId="0" applyFont="1" applyFill="1" applyBorder="1" applyAlignment="1"/>
    <xf numFmtId="0" fontId="7" fillId="0" borderId="11" xfId="22" applyFont="1" applyFill="1" applyBorder="1" applyAlignment="1" applyProtection="1">
      <alignment horizontal="center" vertical="center" wrapText="1"/>
    </xf>
    <xf numFmtId="0" fontId="7" fillId="0" borderId="12" xfId="22" applyFont="1" applyFill="1" applyBorder="1" applyAlignment="1" applyProtection="1">
      <alignment horizontal="center" vertical="center" wrapText="1"/>
    </xf>
    <xf numFmtId="0" fontId="7" fillId="0" borderId="20" xfId="22" applyFont="1" applyFill="1" applyBorder="1" applyAlignment="1" applyProtection="1">
      <alignment horizontal="center" vertical="center" wrapText="1"/>
    </xf>
    <xf numFmtId="166" fontId="25" fillId="0" borderId="4" xfId="22" applyNumberFormat="1" applyFont="1" applyFill="1" applyBorder="1" applyAlignment="1" applyProtection="1">
      <alignment horizontal="center" vertical="center"/>
    </xf>
    <xf numFmtId="166" fontId="25" fillId="0" borderId="36" xfId="22" applyNumberFormat="1" applyFont="1" applyFill="1" applyBorder="1" applyAlignment="1" applyProtection="1">
      <alignment horizontal="center" vertical="center"/>
    </xf>
    <xf numFmtId="0" fontId="7" fillId="0" borderId="11" xfId="22" applyFont="1" applyFill="1" applyBorder="1" applyAlignment="1" applyProtection="1">
      <alignment horizontal="center" vertical="center" wrapText="1"/>
      <protection locked="0"/>
    </xf>
    <xf numFmtId="0" fontId="7" fillId="0" borderId="12" xfId="22" applyFont="1" applyFill="1" applyBorder="1" applyAlignment="1" applyProtection="1">
      <alignment horizontal="center" vertical="center" wrapText="1"/>
      <protection locked="0"/>
    </xf>
    <xf numFmtId="0" fontId="7" fillId="0" borderId="4" xfId="22" applyFont="1" applyFill="1" applyBorder="1" applyAlignment="1" applyProtection="1">
      <alignment horizontal="center" vertical="center" wrapText="1"/>
      <protection locked="0"/>
    </xf>
    <xf numFmtId="0" fontId="7" fillId="0" borderId="20" xfId="22" applyFont="1" applyFill="1" applyBorder="1" applyAlignment="1" applyProtection="1">
      <alignment horizontal="center" vertical="center" wrapText="1"/>
      <protection locked="0"/>
    </xf>
    <xf numFmtId="0" fontId="7" fillId="0" borderId="16" xfId="22" applyFont="1" applyFill="1" applyBorder="1" applyAlignment="1" applyProtection="1">
      <alignment horizontal="center" vertical="center" wrapText="1"/>
      <protection locked="0"/>
    </xf>
    <xf numFmtId="0" fontId="7" fillId="0" borderId="23" xfId="22" applyFont="1" applyFill="1" applyBorder="1" applyAlignment="1" applyProtection="1">
      <alignment horizontal="center" vertical="center" wrapText="1"/>
      <protection locked="0"/>
    </xf>
    <xf numFmtId="166" fontId="25" fillId="0" borderId="4" xfId="22" applyNumberFormat="1" applyFont="1" applyFill="1" applyBorder="1" applyAlignment="1" applyProtection="1">
      <alignment horizontal="center" vertical="center"/>
      <protection locked="0"/>
    </xf>
    <xf numFmtId="166" fontId="25" fillId="0" borderId="36" xfId="22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 wrapText="1"/>
      <protection locked="0"/>
    </xf>
    <xf numFmtId="166" fontId="7" fillId="0" borderId="15" xfId="0" applyNumberFormat="1" applyFont="1" applyFill="1" applyBorder="1" applyAlignment="1" applyProtection="1">
      <alignment horizontal="center" vertical="center" wrapText="1"/>
    </xf>
    <xf numFmtId="166" fontId="7" fillId="0" borderId="29" xfId="0" applyNumberFormat="1" applyFont="1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>
      <alignment horizontal="center" vertical="center" wrapText="1"/>
    </xf>
    <xf numFmtId="166" fontId="7" fillId="0" borderId="23" xfId="0" applyNumberFormat="1" applyFont="1" applyFill="1" applyBorder="1" applyAlignment="1" applyProtection="1">
      <alignment horizontal="center" vertical="center"/>
    </xf>
    <xf numFmtId="166" fontId="7" fillId="0" borderId="23" xfId="0" applyNumberFormat="1" applyFont="1" applyFill="1" applyBorder="1" applyAlignment="1" applyProtection="1">
      <alignment horizontal="center" vertical="center" wrapText="1"/>
    </xf>
    <xf numFmtId="166" fontId="7" fillId="0" borderId="63" xfId="0" applyNumberFormat="1" applyFont="1" applyFill="1" applyBorder="1" applyAlignment="1" applyProtection="1">
      <alignment horizontal="center" vertical="center" wrapText="1"/>
    </xf>
    <xf numFmtId="166" fontId="7" fillId="0" borderId="65" xfId="0" applyNumberFormat="1" applyFont="1" applyFill="1" applyBorder="1" applyAlignment="1" applyProtection="1">
      <alignment horizontal="center" vertical="center" wrapText="1"/>
    </xf>
    <xf numFmtId="166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50" xfId="0" applyNumberFormat="1" applyFont="1" applyFill="1" applyBorder="1" applyAlignment="1">
      <alignment horizontal="left" vertical="center" wrapText="1"/>
    </xf>
    <xf numFmtId="166" fontId="7" fillId="0" borderId="24" xfId="0" applyNumberFormat="1" applyFont="1" applyFill="1" applyBorder="1" applyAlignment="1">
      <alignment horizontal="left" vertical="center" wrapText="1"/>
    </xf>
    <xf numFmtId="166" fontId="9" fillId="0" borderId="0" xfId="0" applyNumberFormat="1" applyFont="1" applyFill="1" applyAlignment="1" applyProtection="1">
      <alignment horizontal="center" textRotation="180" wrapText="1"/>
      <protection locked="0"/>
    </xf>
    <xf numFmtId="166" fontId="7" fillId="0" borderId="63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65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63" xfId="0" applyNumberFormat="1" applyFont="1" applyFill="1" applyBorder="1" applyAlignment="1" applyProtection="1">
      <alignment horizontal="center" vertical="center"/>
      <protection locked="0"/>
    </xf>
    <xf numFmtId="166" fontId="7" fillId="0" borderId="65" xfId="0" applyNumberFormat="1" applyFont="1" applyFill="1" applyBorder="1" applyAlignment="1" applyProtection="1">
      <alignment horizontal="center" vertical="center"/>
      <protection locked="0"/>
    </xf>
    <xf numFmtId="166" fontId="7" fillId="0" borderId="15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29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53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80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60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5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2" xfId="0" applyFont="1" applyFill="1" applyBorder="1" applyAlignment="1" applyProtection="1">
      <alignment horizontal="left" vertical="center" wrapText="1"/>
    </xf>
    <xf numFmtId="0" fontId="7" fillId="0" borderId="52" xfId="0" applyFont="1" applyFill="1" applyBorder="1" applyAlignment="1" applyProtection="1">
      <alignment horizontal="left" vertical="center" wrapText="1"/>
    </xf>
    <xf numFmtId="0" fontId="7" fillId="0" borderId="38" xfId="0" applyFont="1" applyFill="1" applyBorder="1" applyAlignment="1" applyProtection="1">
      <alignment horizontal="left" vertical="center" wrapText="1"/>
    </xf>
    <xf numFmtId="0" fontId="23" fillId="0" borderId="50" xfId="0" applyFont="1" applyFill="1" applyBorder="1" applyAlignment="1" applyProtection="1">
      <alignment horizontal="left" vertical="center"/>
    </xf>
    <xf numFmtId="0" fontId="23" fillId="0" borderId="24" xfId="0" applyFont="1" applyFill="1" applyBorder="1" applyAlignment="1" applyProtection="1">
      <alignment horizontal="left" vertical="center"/>
    </xf>
    <xf numFmtId="0" fontId="26" fillId="0" borderId="50" xfId="0" applyFont="1" applyFill="1" applyBorder="1" applyAlignment="1" applyProtection="1">
      <alignment horizontal="left" vertical="center"/>
    </xf>
    <xf numFmtId="0" fontId="26" fillId="0" borderId="24" xfId="0" applyFont="1" applyFill="1" applyBorder="1" applyAlignment="1" applyProtection="1">
      <alignment horizontal="left" vertical="center"/>
    </xf>
    <xf numFmtId="0" fontId="18" fillId="0" borderId="0" xfId="0" applyFont="1" applyFill="1" applyAlignment="1" applyProtection="1">
      <alignment horizontal="center" vertical="center" wrapText="1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43" fillId="0" borderId="22" xfId="0" applyFont="1" applyFill="1" applyBorder="1" applyAlignment="1" applyProtection="1">
      <alignment horizontal="right"/>
      <protection locked="0"/>
    </xf>
    <xf numFmtId="0" fontId="7" fillId="0" borderId="62" xfId="0" applyFont="1" applyFill="1" applyBorder="1" applyAlignment="1" applyProtection="1">
      <alignment horizontal="center" vertical="center" wrapText="1"/>
      <protection locked="0"/>
    </xf>
    <xf numFmtId="0" fontId="7" fillId="0" borderId="64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0" fontId="7" fillId="0" borderId="52" xfId="0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Fill="1" applyBorder="1" applyAlignment="1" applyProtection="1">
      <alignment horizontal="center" vertical="center" wrapText="1"/>
      <protection locked="0"/>
    </xf>
    <xf numFmtId="0" fontId="25" fillId="0" borderId="44" xfId="0" applyFont="1" applyFill="1" applyBorder="1" applyAlignment="1" applyProtection="1">
      <alignment horizontal="center"/>
      <protection locked="0"/>
    </xf>
    <xf numFmtId="0" fontId="25" fillId="0" borderId="47" xfId="0" applyFont="1" applyFill="1" applyBorder="1" applyAlignment="1" applyProtection="1">
      <alignment horizontal="center"/>
      <protection locked="0"/>
    </xf>
    <xf numFmtId="0" fontId="7" fillId="0" borderId="60" xfId="0" applyFont="1" applyFill="1" applyBorder="1" applyAlignment="1" applyProtection="1">
      <alignment horizontal="center" vertical="center" wrapText="1"/>
      <protection locked="0"/>
    </xf>
    <xf numFmtId="0" fontId="7" fillId="0" borderId="51" xfId="0" applyFont="1" applyFill="1" applyBorder="1" applyAlignment="1" applyProtection="1">
      <alignment horizontal="center" vertical="center" wrapText="1"/>
      <protection locked="0"/>
    </xf>
    <xf numFmtId="0" fontId="7" fillId="0" borderId="62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24" fillId="0" borderId="52" xfId="0" applyFont="1" applyFill="1" applyBorder="1" applyAlignment="1">
      <alignment horizontal="justify" vertical="center" wrapText="1"/>
    </xf>
    <xf numFmtId="0" fontId="40" fillId="0" borderId="0" xfId="0" applyFont="1" applyFill="1" applyAlignment="1" applyProtection="1">
      <alignment horizontal="right" vertical="center" wrapText="1"/>
      <protection locked="0"/>
    </xf>
    <xf numFmtId="0" fontId="40" fillId="0" borderId="0" xfId="0" applyFont="1" applyAlignment="1" applyProtection="1">
      <alignment horizontal="right" vertical="center" wrapText="1"/>
      <protection locked="0"/>
    </xf>
    <xf numFmtId="0" fontId="25" fillId="0" borderId="50" xfId="0" applyFont="1" applyFill="1" applyBorder="1" applyAlignment="1">
      <alignment horizontal="left" vertical="center" indent="2"/>
    </xf>
    <xf numFmtId="0" fontId="25" fillId="0" borderId="24" xfId="0" applyFont="1" applyFill="1" applyBorder="1" applyAlignment="1">
      <alignment horizontal="left" vertical="center" indent="2"/>
    </xf>
    <xf numFmtId="0" fontId="40" fillId="0" borderId="0" xfId="0" applyFont="1" applyFill="1" applyAlignment="1" applyProtection="1">
      <alignment horizontal="right"/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37" fillId="0" borderId="0" xfId="24" applyFont="1" applyFill="1" applyAlignment="1" applyProtection="1">
      <alignment horizontal="left"/>
    </xf>
    <xf numFmtId="0" fontId="41" fillId="0" borderId="0" xfId="24" applyFont="1" applyFill="1" applyAlignment="1" applyProtection="1">
      <alignment horizontal="right"/>
      <protection locked="0"/>
    </xf>
    <xf numFmtId="0" fontId="45" fillId="0" borderId="0" xfId="24" applyFont="1" applyFill="1" applyAlignment="1" applyProtection="1">
      <alignment horizontal="center"/>
      <protection locked="0"/>
    </xf>
    <xf numFmtId="0" fontId="26" fillId="0" borderId="0" xfId="0" applyFont="1" applyAlignment="1">
      <alignment horizontal="center"/>
    </xf>
    <xf numFmtId="0" fontId="45" fillId="0" borderId="0" xfId="24" applyFont="1" applyFill="1" applyAlignment="1" applyProtection="1">
      <alignment horizontal="center" vertical="center" wrapText="1"/>
      <protection locked="0"/>
    </xf>
    <xf numFmtId="0" fontId="45" fillId="0" borderId="0" xfId="24" applyFont="1" applyFill="1" applyAlignment="1" applyProtection="1">
      <alignment horizontal="center" vertical="center"/>
      <protection locked="0"/>
    </xf>
    <xf numFmtId="0" fontId="47" fillId="0" borderId="0" xfId="24" applyFont="1" applyFill="1" applyBorder="1" applyAlignment="1" applyProtection="1">
      <alignment horizontal="right"/>
      <protection locked="0"/>
    </xf>
    <xf numFmtId="0" fontId="48" fillId="0" borderId="15" xfId="24" applyFont="1" applyFill="1" applyBorder="1" applyAlignment="1" applyProtection="1">
      <alignment horizontal="center" vertical="center" wrapText="1"/>
      <protection locked="0"/>
    </xf>
    <xf numFmtId="0" fontId="48" fillId="0" borderId="7" xfId="24" applyFont="1" applyFill="1" applyBorder="1" applyAlignment="1" applyProtection="1">
      <alignment horizontal="center" vertical="center" wrapText="1"/>
      <protection locked="0"/>
    </xf>
    <xf numFmtId="0" fontId="48" fillId="0" borderId="9" xfId="24" applyFont="1" applyFill="1" applyBorder="1" applyAlignment="1" applyProtection="1">
      <alignment horizontal="center" vertical="center" wrapText="1"/>
      <protection locked="0"/>
    </xf>
    <xf numFmtId="0" fontId="49" fillId="0" borderId="16" xfId="23" applyFont="1" applyFill="1" applyBorder="1" applyAlignment="1" applyProtection="1">
      <alignment horizontal="center" vertical="center" textRotation="90"/>
      <protection locked="0"/>
    </xf>
    <xf numFmtId="0" fontId="49" fillId="0" borderId="1" xfId="23" applyFont="1" applyFill="1" applyBorder="1" applyAlignment="1" applyProtection="1">
      <alignment horizontal="center" vertical="center" textRotation="90"/>
      <protection locked="0"/>
    </xf>
    <xf numFmtId="0" fontId="49" fillId="0" borderId="3" xfId="23" applyFont="1" applyFill="1" applyBorder="1" applyAlignment="1" applyProtection="1">
      <alignment horizontal="center" vertical="center" textRotation="90"/>
      <protection locked="0"/>
    </xf>
    <xf numFmtId="0" fontId="47" fillId="0" borderId="4" xfId="24" applyFont="1" applyFill="1" applyBorder="1" applyAlignment="1" applyProtection="1">
      <alignment horizontal="center" vertical="center" wrapText="1"/>
      <protection locked="0"/>
    </xf>
    <xf numFmtId="0" fontId="47" fillId="0" borderId="2" xfId="24" applyFont="1" applyFill="1" applyBorder="1" applyAlignment="1" applyProtection="1">
      <alignment horizontal="center" vertical="center" wrapText="1"/>
      <protection locked="0"/>
    </xf>
    <xf numFmtId="0" fontId="47" fillId="0" borderId="60" xfId="24" applyFont="1" applyFill="1" applyBorder="1" applyAlignment="1" applyProtection="1">
      <alignment horizontal="center" vertical="center" wrapText="1"/>
      <protection locked="0"/>
    </xf>
    <xf numFmtId="0" fontId="47" fillId="0" borderId="59" xfId="24" applyFont="1" applyFill="1" applyBorder="1" applyAlignment="1" applyProtection="1">
      <alignment horizontal="center" vertical="center" wrapText="1"/>
      <protection locked="0"/>
    </xf>
    <xf numFmtId="0" fontId="47" fillId="0" borderId="2" xfId="24" applyFont="1" applyFill="1" applyBorder="1" applyAlignment="1" applyProtection="1">
      <alignment horizontal="center" wrapText="1"/>
      <protection locked="0"/>
    </xf>
    <xf numFmtId="0" fontId="47" fillId="0" borderId="17" xfId="24" applyFont="1" applyFill="1" applyBorder="1" applyAlignment="1" applyProtection="1">
      <alignment horizontal="center" wrapText="1"/>
      <protection locked="0"/>
    </xf>
    <xf numFmtId="0" fontId="37" fillId="0" borderId="0" xfId="24" applyFont="1" applyFill="1" applyAlignment="1" applyProtection="1">
      <alignment horizontal="center"/>
    </xf>
    <xf numFmtId="0" fontId="40" fillId="0" borderId="0" xfId="23" applyFont="1" applyFill="1" applyAlignment="1" applyProtection="1">
      <alignment horizontal="right" vertical="center" wrapText="1"/>
      <protection locked="0"/>
    </xf>
    <xf numFmtId="0" fontId="14" fillId="0" borderId="0" xfId="23" applyFill="1" applyAlignment="1" applyProtection="1">
      <alignment horizontal="right" vertical="center" wrapText="1"/>
      <protection locked="0"/>
    </xf>
    <xf numFmtId="0" fontId="18" fillId="0" borderId="0" xfId="23" applyFont="1" applyFill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26" fillId="0" borderId="0" xfId="23" applyFont="1" applyFill="1" applyAlignment="1" applyProtection="1">
      <alignment horizontal="center" vertical="center" wrapText="1"/>
      <protection locked="0"/>
    </xf>
    <xf numFmtId="0" fontId="29" fillId="0" borderId="0" xfId="23" applyFont="1" applyFill="1" applyBorder="1" applyAlignment="1" applyProtection="1">
      <alignment horizontal="right" vertical="center"/>
      <protection locked="0"/>
    </xf>
    <xf numFmtId="0" fontId="18" fillId="0" borderId="11" xfId="23" applyFont="1" applyFill="1" applyBorder="1" applyAlignment="1" applyProtection="1">
      <alignment horizontal="center" vertical="center" wrapText="1"/>
      <protection locked="0"/>
    </xf>
    <xf numFmtId="0" fontId="18" fillId="0" borderId="8" xfId="23" applyFont="1" applyFill="1" applyBorder="1" applyAlignment="1" applyProtection="1">
      <alignment horizontal="center" vertical="center" wrapText="1"/>
      <protection locked="0"/>
    </xf>
    <xf numFmtId="0" fontId="49" fillId="0" borderId="4" xfId="23" applyFont="1" applyFill="1" applyBorder="1" applyAlignment="1" applyProtection="1">
      <alignment horizontal="center" vertical="center" textRotation="90"/>
      <protection locked="0"/>
    </xf>
    <xf numFmtId="0" fontId="49" fillId="0" borderId="2" xfId="23" applyFont="1" applyFill="1" applyBorder="1" applyAlignment="1" applyProtection="1">
      <alignment horizontal="center" vertical="center" textRotation="90"/>
      <protection locked="0"/>
    </xf>
    <xf numFmtId="0" fontId="5" fillId="0" borderId="36" xfId="23" applyFont="1" applyFill="1" applyBorder="1" applyAlignment="1" applyProtection="1">
      <alignment horizontal="center" vertical="center" wrapText="1"/>
      <protection locked="0"/>
    </xf>
    <xf numFmtId="0" fontId="5" fillId="0" borderId="17" xfId="23" applyFont="1" applyFill="1" applyBorder="1" applyAlignment="1" applyProtection="1">
      <alignment horizontal="center" vertical="center"/>
      <protection locked="0"/>
    </xf>
    <xf numFmtId="0" fontId="45" fillId="0" borderId="0" xfId="24" applyFont="1" applyFill="1" applyAlignment="1">
      <alignment horizontal="center" vertical="center" wrapText="1"/>
    </xf>
    <xf numFmtId="0" fontId="45" fillId="0" borderId="0" xfId="24" applyFont="1" applyFill="1" applyAlignment="1">
      <alignment horizontal="center" vertical="center"/>
    </xf>
    <xf numFmtId="0" fontId="20" fillId="0" borderId="50" xfId="24" applyFont="1" applyFill="1" applyBorder="1" applyAlignment="1">
      <alignment horizontal="left"/>
    </xf>
    <xf numFmtId="0" fontId="20" fillId="0" borderId="24" xfId="24" applyFont="1" applyFill="1" applyBorder="1" applyAlignment="1">
      <alignment horizontal="left"/>
    </xf>
    <xf numFmtId="3" fontId="37" fillId="0" borderId="0" xfId="24" applyNumberFormat="1" applyFont="1" applyFill="1" applyAlignment="1">
      <alignment horizontal="center"/>
    </xf>
    <xf numFmtId="0" fontId="41" fillId="0" borderId="0" xfId="24" applyFont="1" applyFill="1" applyAlignment="1">
      <alignment horizontal="right"/>
    </xf>
    <xf numFmtId="0" fontId="45" fillId="0" borderId="0" xfId="24" applyFont="1" applyFill="1" applyAlignment="1">
      <alignment horizontal="center"/>
    </xf>
    <xf numFmtId="0" fontId="40" fillId="0" borderId="0" xfId="0" applyFont="1" applyAlignment="1" applyProtection="1">
      <alignment horizontal="center" textRotation="180"/>
      <protection locked="0"/>
    </xf>
    <xf numFmtId="0" fontId="55" fillId="0" borderId="13" xfId="0" applyFont="1" applyBorder="1" applyAlignment="1" applyProtection="1">
      <alignment wrapText="1"/>
    </xf>
    <xf numFmtId="0" fontId="55" fillId="0" borderId="14" xfId="0" applyFont="1" applyBorder="1" applyAlignment="1" applyProtection="1">
      <alignment wrapText="1"/>
    </xf>
    <xf numFmtId="0" fontId="55" fillId="0" borderId="0" xfId="0" applyFont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 vertical="top" wrapText="1"/>
      <protection locked="0"/>
    </xf>
    <xf numFmtId="0" fontId="40" fillId="0" borderId="0" xfId="0" applyFont="1" applyAlignment="1">
      <alignment horizontal="right"/>
    </xf>
  </cellXfs>
  <cellStyles count="27">
    <cellStyle name="Ezres" xfId="1" builtinId="3"/>
    <cellStyle name="Ezres 2" xfId="2" xr:uid="{EC4A118F-9810-41D1-A77D-732356F9B978}"/>
    <cellStyle name="Ezres 2 2" xfId="3" xr:uid="{EA236EC7-9C1B-43EA-B242-28463642E371}"/>
    <cellStyle name="Ezres 2 3" xfId="4" xr:uid="{DD6FACBD-6865-48CD-8ABF-1117F8CDC295}"/>
    <cellStyle name="Ezres 2 4" xfId="5" xr:uid="{9EEBF9DC-272F-4FF7-A0CE-B9D76D46CE9D}"/>
    <cellStyle name="Ezres 3" xfId="6" xr:uid="{44594549-029E-48DC-A0D5-843E4E37B294}"/>
    <cellStyle name="Ezres 3 2" xfId="7" xr:uid="{BA262781-C87C-4057-99E4-CEBD3951A659}"/>
    <cellStyle name="Ezres 3 3" xfId="8" xr:uid="{277E937E-EC61-4A52-8051-EE2143D3B5BF}"/>
    <cellStyle name="Ezres 4" xfId="9" xr:uid="{103A96CB-3E93-4BFC-A0B8-134698B28728}"/>
    <cellStyle name="Ezres 5" xfId="10" xr:uid="{BEDDB5A4-C70C-411C-8178-570200C1BD7E}"/>
    <cellStyle name="Ezres 6" xfId="11" xr:uid="{55FFC04C-6F69-4A30-A67C-84B6F1ACC182}"/>
    <cellStyle name="Ezres 7" xfId="12" xr:uid="{030F6B16-181B-4561-8ABD-5631BAFC1613}"/>
    <cellStyle name="Ezres 8" xfId="13" xr:uid="{31C0CF9C-D2E9-4235-ADEB-8E363730A9D3}"/>
    <cellStyle name="Hiperhivatkozás" xfId="14" xr:uid="{6E6FC593-A67A-4DA0-8481-525130503E0A}"/>
    <cellStyle name="Hivatkozás" xfId="15" builtinId="8"/>
    <cellStyle name="Már látott hiperhivatkozás" xfId="16" xr:uid="{CC394A25-9303-4612-9E4E-42DFF2DCEBBD}"/>
    <cellStyle name="Normál" xfId="0" builtinId="0"/>
    <cellStyle name="Normál 2" xfId="17" xr:uid="{CB298F1C-D115-448D-8366-513636E4240E}"/>
    <cellStyle name="Normál 2 2" xfId="18" xr:uid="{1A83C132-8938-4C63-87D0-9B675222828D}"/>
    <cellStyle name="Normál 3" xfId="19" xr:uid="{DE819E11-CBF8-48B5-9FA5-3DB96EC38423}"/>
    <cellStyle name="Normál 4" xfId="20" xr:uid="{D062431A-7004-44E3-89ED-28A78E7EA394}"/>
    <cellStyle name="Normál 5" xfId="21" xr:uid="{A5EE4C47-CC47-418B-BDB2-840DF009A8C7}"/>
    <cellStyle name="Normál_KVRENMUNKA" xfId="22" xr:uid="{0640BE02-AE2A-4ACE-BFB1-310ADD0C1A08}"/>
    <cellStyle name="Normál_VAGYONK" xfId="23" xr:uid="{05C4F8E6-8568-41CC-9A80-3EA07AD8B947}"/>
    <cellStyle name="Normál_VAGYONKIM" xfId="24" xr:uid="{8DCBB6E7-FEBB-417D-971D-DD2F5DDCEEAC}"/>
    <cellStyle name="Százalék" xfId="25" builtinId="5"/>
    <cellStyle name="Százalék 2" xfId="26" xr:uid="{1134665F-8A3E-4661-A4A6-833C132A9944}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C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1</xdr:row>
      <xdr:rowOff>104775</xdr:rowOff>
    </xdr:from>
    <xdr:to>
      <xdr:col>22</xdr:col>
      <xdr:colOff>266700</xdr:colOff>
      <xdr:row>16</xdr:row>
      <xdr:rowOff>133350</xdr:rowOff>
    </xdr:to>
    <xdr:grpSp>
      <xdr:nvGrpSpPr>
        <xdr:cNvPr id="4087" name="Csoportba foglalás 11">
          <a:extLst>
            <a:ext uri="{FF2B5EF4-FFF2-40B4-BE49-F238E27FC236}">
              <a16:creationId xmlns:a16="http://schemas.microsoft.com/office/drawing/2014/main" id="{D0AADDD1-5A03-1F7F-AB92-E3F3C0ECE8DD}"/>
            </a:ext>
          </a:extLst>
        </xdr:cNvPr>
        <xdr:cNvGrpSpPr>
          <a:grpSpLocks/>
        </xdr:cNvGrpSpPr>
      </xdr:nvGrpSpPr>
      <xdr:grpSpPr bwMode="auto">
        <a:xfrm>
          <a:off x="7748588" y="263525"/>
          <a:ext cx="4900612" cy="2711450"/>
          <a:chOff x="7866063" y="158750"/>
          <a:chExt cx="4900613" cy="2651125"/>
        </a:xfrm>
      </xdr:grpSpPr>
      <xdr:sp macro="" textlink="">
        <xdr:nvSpPr>
          <xdr:cNvPr id="3" name="Beszédbuborék: négyszög 2">
            <a:extLst>
              <a:ext uri="{FF2B5EF4-FFF2-40B4-BE49-F238E27FC236}">
                <a16:creationId xmlns:a16="http://schemas.microsoft.com/office/drawing/2014/main" id="{B5F7BCF4-018C-8086-7014-79BF7E276A6E}"/>
              </a:ext>
            </a:extLst>
          </xdr:cNvPr>
          <xdr:cNvSpPr/>
        </xdr:nvSpPr>
        <xdr:spPr bwMode="auto">
          <a:xfrm>
            <a:off x="7866063" y="158750"/>
            <a:ext cx="4900613" cy="2651125"/>
          </a:xfrm>
          <a:prstGeom prst="wedgeRectCallout">
            <a:avLst>
              <a:gd name="adj1" fmla="val -61515"/>
              <a:gd name="adj2" fmla="val 9031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hu-HU" sz="1100" b="1"/>
              <a:t>Teendő:</a:t>
            </a:r>
          </a:p>
          <a:p>
            <a:pPr algn="l"/>
            <a:r>
              <a:rPr lang="hu-HU" sz="1100"/>
              <a:t>Ha nem a székhely</a:t>
            </a:r>
            <a:r>
              <a:rPr lang="hu-HU" sz="1100" baseline="0"/>
              <a:t> szerinti önkormányzatra készülnek a táblázatok, kattintson ide</a:t>
            </a:r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r>
              <a:rPr lang="hu-HU" sz="1100"/>
              <a:t>,ha</a:t>
            </a:r>
            <a:r>
              <a:rPr lang="hu-HU" sz="1100" baseline="0"/>
              <a:t> feljön az "Igen" és "Nem" akkor kattintson a "Nem"-re. Ezt csak a  közös hivatallal rendelkező önkormányzatok esetében kell megtenni, polgármesteri hivatalok esetében minditg az alaphelyzetet (Igen) kell meghagyni!</a:t>
            </a:r>
          </a:p>
          <a:p>
            <a:pPr algn="l"/>
            <a:r>
              <a:rPr lang="hu-HU" sz="1100" b="1" baseline="0"/>
              <a:t>Magyarázat:</a:t>
            </a:r>
          </a:p>
          <a:p>
            <a:pPr algn="l"/>
            <a:r>
              <a:rPr lang="hu-HU" sz="1100" baseline="0"/>
              <a:t>Csak székhellyel rendelkező önkormányzatnál lehet közös hivatal, a többinél nem. ezért abban az esetben , ha másik önkormányzat táblázatait készítik az Igen-ről Nem-re történő váltásra azért van szükség, hogy a 6.1 (Önkormányzati táblázatok) melléklet számai után a költségvetési szervek melléklet számai 6.2.-vel folytatódjanak. A közös hivatal táblázatai továbbra is megmaradnak, de azokat ebben az esetben nem kell kinyomtatni. </a:t>
            </a:r>
            <a:endParaRPr lang="hu-HU" sz="1100"/>
          </a:p>
        </xdr:txBody>
      </xdr:sp>
      <xdr:pic>
        <xdr:nvPicPr>
          <xdr:cNvPr id="4090" name="Kép 3">
            <a:extLst>
              <a:ext uri="{FF2B5EF4-FFF2-40B4-BE49-F238E27FC236}">
                <a16:creationId xmlns:a16="http://schemas.microsoft.com/office/drawing/2014/main" id="{2B096CC5-4EAB-4249-6F20-3DC39BBF253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466" t="43756" r="75948" b="52979"/>
          <a:stretch>
            <a:fillRect/>
          </a:stretch>
        </xdr:blipFill>
        <xdr:spPr bwMode="auto">
          <a:xfrm>
            <a:off x="7953445" y="525101"/>
            <a:ext cx="1358192" cy="5116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Nyíl: balra mutató 4">
            <a:extLst>
              <a:ext uri="{FF2B5EF4-FFF2-40B4-BE49-F238E27FC236}">
                <a16:creationId xmlns:a16="http://schemas.microsoft.com/office/drawing/2014/main" id="{C28836AC-873D-9E50-5AA2-9F45C7E193E8}"/>
              </a:ext>
            </a:extLst>
          </xdr:cNvPr>
          <xdr:cNvSpPr/>
        </xdr:nvSpPr>
        <xdr:spPr bwMode="auto">
          <a:xfrm>
            <a:off x="9148200" y="661068"/>
            <a:ext cx="816769" cy="269764"/>
          </a:xfrm>
          <a:prstGeom prst="leftArrow">
            <a:avLst/>
          </a:prstGeom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hu-HU"/>
          </a:p>
        </xdr:txBody>
      </xdr:sp>
    </xdr:grpSp>
    <xdr:clientData/>
  </xdr:twoCellAnchor>
  <xdr:twoCellAnchor>
    <xdr:from>
      <xdr:col>13</xdr:col>
      <xdr:colOff>150813</xdr:colOff>
      <xdr:row>17</xdr:row>
      <xdr:rowOff>33337</xdr:rowOff>
    </xdr:from>
    <xdr:to>
      <xdr:col>22</xdr:col>
      <xdr:colOff>263529</xdr:colOff>
      <xdr:row>23</xdr:row>
      <xdr:rowOff>160337</xdr:rowOff>
    </xdr:to>
    <xdr:sp macro="" textlink="">
      <xdr:nvSpPr>
        <xdr:cNvPr id="6" name="Téglalap 5">
          <a:extLst>
            <a:ext uri="{FF2B5EF4-FFF2-40B4-BE49-F238E27FC236}">
              <a16:creationId xmlns:a16="http://schemas.microsoft.com/office/drawing/2014/main" id="{1F52E710-53D2-04CF-074F-020CF608C178}"/>
            </a:ext>
          </a:extLst>
        </xdr:cNvPr>
        <xdr:cNvSpPr/>
      </xdr:nvSpPr>
      <xdr:spPr>
        <a:xfrm>
          <a:off x="7675563" y="3001962"/>
          <a:ext cx="4899029" cy="12223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hu-HU" sz="1100"/>
            <a:t>A Z_1.1.sz.mell.</a:t>
          </a:r>
          <a:r>
            <a:rPr lang="hu-HU" sz="1100" baseline="0"/>
            <a:t> fülnél a </a:t>
          </a:r>
          <a:r>
            <a:rPr lang="hu-HU" sz="1100" b="1" i="1" baseline="0"/>
            <a:t>4. Közhatalmi bevételek </a:t>
          </a:r>
          <a:r>
            <a:rPr lang="hu-HU" sz="1100" baseline="0"/>
            <a:t>bevételi jogcímei, abban az esetben ha az önkormányzatnál más bevételi jogcímek is előfordulnak, akkor bármelyik bevételi jogcím átírható arra, amit szerepeltetni szeretne az önkormányzat. </a:t>
          </a:r>
        </a:p>
        <a:p>
          <a:pPr algn="l">
            <a:lnSpc>
              <a:spcPts val="1100"/>
            </a:lnSpc>
          </a:pPr>
          <a:r>
            <a:rPr lang="hu-HU" sz="1100" b="1" baseline="0"/>
            <a:t>Ezt csak a Z_1.1.sz.mell. fülnél kell elvégzeni, a többi táblázat automatikusan javítódik!</a:t>
          </a:r>
          <a:endParaRPr lang="hu-HU" sz="11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2021%20Z&#225;rsz&#225;mad&#225;s\&#193;TDOLGOZ&#193;S%20RENDMOD%202021.09.15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_TARTALOMJEGYZÉK"/>
      <sheetName val="RM_ALAPADATOK"/>
      <sheetName val="RM_ÖSSZEFÜGGÉSEK"/>
      <sheetName val="RM_1.1.sz.mell."/>
      <sheetName val="RM_1.2.sz.mell"/>
      <sheetName val="RM_1.3.sz.mell."/>
      <sheetName val="RM_1.4.sz.mell."/>
      <sheetName val="RM_2.1.sz.mell."/>
      <sheetName val="RM_2.2.sz.mell."/>
      <sheetName val="RM_ELLENŐRZÉS"/>
      <sheetName val="RM_3.sz.mell."/>
      <sheetName val="RM_4.sz.mell."/>
      <sheetName val="RM_5.sz.mell."/>
      <sheetName val="RM_5.1.sz.mell"/>
      <sheetName val="RM_5.1.1.sz.mell"/>
      <sheetName val="RM_6.1.2.sz.mell"/>
      <sheetName val="RM_6.1.3.sz.mell"/>
      <sheetName val="RM_5.2.sz.mell"/>
      <sheetName val="RM_5.2.1.sz.mell"/>
      <sheetName val="RM_6.2.2.sz.mell"/>
      <sheetName val="RM_6.2.3.sz.mell"/>
      <sheetName val="RM_5.3.sz.mell"/>
      <sheetName val="RM_5.3.1.sz.mell"/>
      <sheetName val="RM_6.3.2.sz.mell"/>
      <sheetName val="RM_6.3.3.sz.mell"/>
      <sheetName val="RM_5.4.sz.mell"/>
      <sheetName val="RM_5.4.1.sz.mell"/>
      <sheetName val="RM_7.sz.mell"/>
      <sheetName val="RM_6.4.2.sz.mell"/>
      <sheetName val="RM_6.4.3.sz.mell"/>
      <sheetName val="RM_6.5.sz.mell"/>
      <sheetName val="RM_6.5.1.sz.mell"/>
      <sheetName val="RM_6.5.2.sz.mell"/>
      <sheetName val="RM_6.5.3.sz.mell"/>
      <sheetName val="RM_6.6.sz.mell"/>
      <sheetName val="RM_6.6.1.sz.mell"/>
      <sheetName val="RM_6.6.2.sz.mell"/>
      <sheetName val="RM_6.6.3.sz.mell"/>
      <sheetName val="RM_6.7.sz.mell"/>
      <sheetName val="RM_6.7.1.sz.mell"/>
      <sheetName val="RM_6.7.2.sz.mell"/>
      <sheetName val="RM_6.7.3.sz.mell"/>
      <sheetName val="RM_6.8.sz.mell"/>
      <sheetName val="RM_6.8.1.sz.mell"/>
      <sheetName val="RM_6.8.2.sz.mell"/>
      <sheetName val="RM_6.8.3.sz.mell"/>
      <sheetName val="RM_6.9.sz.mell"/>
      <sheetName val="RM_6.9.1.sz.mell"/>
      <sheetName val="RM_6.9.2.sz.mell"/>
      <sheetName val="RM_6.9.3.sz.mell"/>
      <sheetName val="RM_6.10.sz.mell"/>
      <sheetName val="RM_6.10.1.sz.mell"/>
      <sheetName val="RM_6.10.2.sz.mell"/>
      <sheetName val="RM_6.10.3.sz.mell"/>
      <sheetName val="RM_6.11.sz.mell"/>
      <sheetName val="RM_6.11.1.sz.mell"/>
      <sheetName val="RM_6.11.2.sz.mell"/>
      <sheetName val="RM_6.11.3.sz.mell"/>
      <sheetName val="RM_6.12.sz.mell"/>
      <sheetName val="RM_6.12.1.sz.mell"/>
      <sheetName val="RM_6.12.2.sz.mell"/>
      <sheetName val="RM_6.12.3.sz.mell"/>
      <sheetName val="Munka1"/>
      <sheetName val="RM_6.1.sz.mell"/>
      <sheetName val="RM_6.1.1.sz.mell"/>
      <sheetName val="RM_6.2.sz.mell"/>
      <sheetName val="RM_6.2.1.sz.mell"/>
      <sheetName val="RM_6.3.sz.mell"/>
      <sheetName val="RM_6.3.1.sz.mell"/>
      <sheetName val="RM_6.4.sz.mell"/>
      <sheetName val="RM_6.4.1.sz.me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16">
          <cell r="K116">
            <v>8509200</v>
          </cell>
        </row>
        <row r="118">
          <cell r="K118">
            <v>184833480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7371-CDE6-436F-B382-C85FEEEBCC5A}">
  <sheetPr>
    <pageSetUpPr fitToPage="1"/>
  </sheetPr>
  <dimension ref="A1:C46"/>
  <sheetViews>
    <sheetView zoomScale="120" zoomScaleNormal="120" workbookViewId="0"/>
  </sheetViews>
  <sheetFormatPr defaultRowHeight="12.75" x14ac:dyDescent="0.2"/>
  <cols>
    <col min="1" max="1" width="34.83203125" customWidth="1"/>
    <col min="2" max="2" width="91.1640625" customWidth="1"/>
    <col min="3" max="3" width="35.33203125" customWidth="1"/>
  </cols>
  <sheetData>
    <row r="1" spans="1:3" x14ac:dyDescent="0.2">
      <c r="A1" s="674">
        <v>2021</v>
      </c>
    </row>
    <row r="2" spans="1:3" ht="18.75" x14ac:dyDescent="0.2">
      <c r="A2" s="806" t="s">
        <v>780</v>
      </c>
      <c r="B2" s="806"/>
      <c r="C2" s="806"/>
    </row>
    <row r="3" spans="1:3" ht="15" x14ac:dyDescent="0.25">
      <c r="A3" s="621"/>
      <c r="B3" s="622"/>
      <c r="C3" s="621"/>
    </row>
    <row r="4" spans="1:3" ht="14.25" x14ac:dyDescent="0.2">
      <c r="A4" s="623" t="s">
        <v>781</v>
      </c>
      <c r="B4" s="624" t="s">
        <v>782</v>
      </c>
      <c r="C4" s="623" t="s">
        <v>783</v>
      </c>
    </row>
    <row r="5" spans="1:3" x14ac:dyDescent="0.2">
      <c r="A5" s="625"/>
      <c r="B5" s="625"/>
      <c r="C5" s="625"/>
    </row>
    <row r="6" spans="1:3" ht="18.75" x14ac:dyDescent="0.3">
      <c r="A6" s="807" t="s">
        <v>815</v>
      </c>
      <c r="B6" s="807"/>
      <c r="C6" s="807"/>
    </row>
    <row r="7" spans="1:3" x14ac:dyDescent="0.2">
      <c r="A7" s="625" t="s">
        <v>784</v>
      </c>
      <c r="B7" s="625" t="s">
        <v>785</v>
      </c>
      <c r="C7" s="626" t="str">
        <f ca="1">HYPERLINK(SUBSTITUTE(CELL("address",Z_ALAPADATOK!A1),"'",""),SUBSTITUTE(MID(CELL("address",Z_ALAPADATOK!A1),SEARCH("]",CELL("address",Z_ALAPADATOK!A1),1)+1,LEN(CELL("address",Z_ALAPADATOK!A1))-SEARCH("]",CELL("address",Z_ALAPADATOK!A1),1)),"'",""))</f>
        <v>Z_ALAPADATOK!$A$1</v>
      </c>
    </row>
    <row r="8" spans="1:3" x14ac:dyDescent="0.2">
      <c r="A8" s="625" t="s">
        <v>786</v>
      </c>
      <c r="B8" s="625" t="s">
        <v>824</v>
      </c>
      <c r="C8" s="626" t="str">
        <f ca="1">HYPERLINK(SUBSTITUTE(CELL("address",Z_ÖSSZEFÜGGÉSEK!A1),"'",""),SUBSTITUTE(MID(CELL("address",Z_ÖSSZEFÜGGÉSEK!A1),SEARCH("]",CELL("address",Z_ÖSSZEFÜGGÉSEK!A1),1)+1,LEN(CELL("address",Z_ÖSSZEFÜGGÉSEK!A1))-SEARCH("]",CELL("address",Z_ÖSSZEFÜGGÉSEK!A1),1)),"'",""))</f>
        <v>Z_ÖSSZEFÜGGÉSEK!$A$1</v>
      </c>
    </row>
    <row r="9" spans="1:3" x14ac:dyDescent="0.2">
      <c r="A9" s="625" t="s">
        <v>787</v>
      </c>
      <c r="B9" s="625" t="str">
        <f>CONCATENATE(LOWER('Z_1.1.sz.mell.'!A3))</f>
        <v>2021. évi zárszámadásának pénzügyi mérlege</v>
      </c>
      <c r="C9" s="626" t="str">
        <f ca="1">HYPERLINK(SUBSTITUTE(CELL("address",'Z_1.1.sz.mell.'!A1),"'",""),SUBSTITUTE(MID(CELL("address",'Z_1.1.sz.mell.'!A1),SEARCH("]",CELL("address",'Z_1.1.sz.mell.'!A1),1)+1,LEN(CELL("address",'Z_1.1.sz.mell.'!A1))-SEARCH("]",CELL("address",'Z_1.1.sz.mell.'!A1),1)),"'",""))</f>
        <v>Z_1.1.sz.mell.!$A$1</v>
      </c>
    </row>
    <row r="10" spans="1:3" x14ac:dyDescent="0.2">
      <c r="A10" s="625" t="s">
        <v>788</v>
      </c>
      <c r="B10" s="625" t="str">
        <f>'Z_1.2.sz.mell.'!A3</f>
        <v>2021. ÉVI ZÁRSZÁMADÁS</v>
      </c>
      <c r="C10" s="626" t="str">
        <f ca="1">HYPERLINK(SUBSTITUTE(CELL("address",'Z_1.2.sz.mell.'!A1),"'",""),SUBSTITUTE(MID(CELL("address",'Z_1.2.sz.mell.'!A1),SEARCH("]",CELL("address",'Z_1.2.sz.mell.'!A1),1)+1,LEN(CELL("address",'Z_1.2.sz.mell.'!A1))-SEARCH("]",CELL("address",'Z_1.2.sz.mell.'!A1),1)),"'",""))</f>
        <v>Z_1.2.sz.mell.!$A$1</v>
      </c>
    </row>
    <row r="11" spans="1:3" x14ac:dyDescent="0.2">
      <c r="A11" s="625" t="s">
        <v>789</v>
      </c>
      <c r="B11" s="625" t="str">
        <f>'Z_1.3.sz.mell.'!A3</f>
        <v>2021. ÉVI ZÁRSZÁMADÁS</v>
      </c>
      <c r="C11" s="626" t="str">
        <f ca="1">HYPERLINK(SUBSTITUTE(CELL("address",'Z_1.3.sz.mell.'!A1),"'",""),SUBSTITUTE(MID(CELL("address",'Z_1.3.sz.mell.'!A1),SEARCH("]",CELL("address",'Z_1.3.sz.mell.'!A1),1)+1,LEN(CELL("address",'Z_1.3.sz.mell.'!A1))-SEARCH("]",CELL("address",'Z_1.3.sz.mell.'!A1),1)),"'",""))</f>
        <v>Z_1.3.sz.mell.!$A$1</v>
      </c>
    </row>
    <row r="12" spans="1:3" x14ac:dyDescent="0.2">
      <c r="A12" s="625" t="s">
        <v>790</v>
      </c>
      <c r="B12" s="625" t="str">
        <f>'Z_1.4.sz.mell.'!A3</f>
        <v>2021. ÉVI ZÁRSZÁMADÁS</v>
      </c>
      <c r="C12" s="626" t="str">
        <f ca="1">HYPERLINK(SUBSTITUTE(CELL("address",'Z_1.4.sz.mell.'!A1),"'",""),SUBSTITUTE(MID(CELL("address",'Z_1.4.sz.mell.'!A1),SEARCH("]",CELL("address",'Z_1.4.sz.mell.'!A1),1)+1,LEN(CELL("address",'Z_1.4.sz.mell.'!A1))-SEARCH("]",CELL("address",'Z_1.4.sz.mell.'!A1),1)),"'",""))</f>
        <v>Z_1.4.sz.mell.!$A$1</v>
      </c>
    </row>
    <row r="13" spans="1:3" x14ac:dyDescent="0.2">
      <c r="A13" s="625" t="s">
        <v>510</v>
      </c>
      <c r="B13" s="625" t="s">
        <v>791</v>
      </c>
      <c r="C13" s="626" t="str">
        <f ca="1">HYPERLINK(SUBSTITUTE(CELL("address",'Z_2.1.sz.mell'!A1),"'",""),SUBSTITUTE(MID(CELL("address",'Z_2.1.sz.mell'!A1),SEARCH("]",CELL("address",'Z_2.1.sz.mell'!A1),1)+1,LEN(CELL("address",'Z_2.1.sz.mell'!A1))-SEARCH("]",CELL("address",'Z_2.1.sz.mell'!A1),1)),"'",""))</f>
        <v>Z_2.1.sz.mell!$A$1</v>
      </c>
    </row>
    <row r="14" spans="1:3" x14ac:dyDescent="0.2">
      <c r="A14" s="625" t="s">
        <v>424</v>
      </c>
      <c r="B14" s="625" t="s">
        <v>792</v>
      </c>
      <c r="C14" s="626" t="str">
        <f ca="1">HYPERLINK(SUBSTITUTE(CELL("address",'Z_2.2.sz.mell'!A1),"'",""),SUBSTITUTE(MID(CELL("address",'Z_2.2.sz.mell'!A1),SEARCH("]",CELL("address",'Z_2.2.sz.mell'!A1),1)+1,LEN(CELL("address",'Z_2.2.sz.mell'!A1))-SEARCH("]",CELL("address",'Z_2.2.sz.mell'!A1),1)),"'",""))</f>
        <v>Z_2.2.sz.mell!$A$1</v>
      </c>
    </row>
    <row r="15" spans="1:3" x14ac:dyDescent="0.2">
      <c r="A15" s="625" t="s">
        <v>793</v>
      </c>
      <c r="B15" s="625" t="s">
        <v>794</v>
      </c>
      <c r="C15" s="626" t="str">
        <f ca="1">HYPERLINK(SUBSTITUTE(CELL("address",Z_ELLENŐRZÉS!A1),"'",""),SUBSTITUTE(MID(CELL("address",Z_ELLENŐRZÉS!A1),SEARCH("]",CELL("address",Z_ELLENŐRZÉS!A1),1)+1,LEN(CELL("address",Z_ELLENŐRZÉS!A1))-SEARCH("]",CELL("address",Z_ELLENŐRZÉS!A1),1)),"'",""))</f>
        <v>Z_ELLENŐRZÉS!$A$1</v>
      </c>
    </row>
    <row r="16" spans="1:3" x14ac:dyDescent="0.2">
      <c r="A16" s="625" t="s">
        <v>795</v>
      </c>
      <c r="B16" s="625" t="s">
        <v>796</v>
      </c>
      <c r="C16" s="626" t="e">
        <f ca="1">HYPERLINK(SUBSTITUTE(CELL("address",'Z_3.sz.mell.'!#REF!),"'",""),SUBSTITUTE(MID(CELL("address",'Z_3.sz.mell.'!#REF!),SEARCH("]",CELL("address",'Z_3.sz.mell.'!#REF!),1)+1,LEN(CELL("address",'Z_3.sz.mell.'!#REF!))-SEARCH("]",CELL("address",'Z_3.sz.mell.'!#REF!),1)),"'",""))</f>
        <v>#REF!</v>
      </c>
    </row>
    <row r="17" spans="1:3" x14ac:dyDescent="0.2">
      <c r="A17" s="625" t="s">
        <v>797</v>
      </c>
      <c r="B17" s="625" t="s">
        <v>798</v>
      </c>
      <c r="C17" s="626" t="e">
        <f ca="1">HYPERLINK(SUBSTITUTE(CELL("address",'Z_4.sz.mell.'!#REF!),"'",""),SUBSTITUTE(MID(CELL("address",'Z_4.sz.mell.'!#REF!),SEARCH("]",CELL("address",'Z_4.sz.mell.'!#REF!),1)+1,LEN(CELL("address",'Z_4.sz.mell.'!#REF!))-SEARCH("]",CELL("address",'Z_4.sz.mell.'!#REF!),1)),"'",""))</f>
        <v>#REF!</v>
      </c>
    </row>
    <row r="18" spans="1:3" x14ac:dyDescent="0.2">
      <c r="A18" s="625" t="s">
        <v>799</v>
      </c>
      <c r="B18" s="625" t="str">
        <f>'Z_5.sz.mell.'!A3</f>
        <v>Európai uniós támogatással megvalósuló projektek</v>
      </c>
      <c r="C18" s="626" t="str">
        <f ca="1">HYPERLINK(SUBSTITUTE(CELL("address",'Z_5.sz.mell.'!A1),"'",""),SUBSTITUTE(MID(CELL("address",'Z_5.sz.mell.'!A1),SEARCH("]",CELL("address",'Z_5.sz.mell.'!A1),1)+1,LEN(CELL("address",'Z_5.sz.mell.'!A1))-SEARCH("]",CELL("address",'Z_5.sz.mell.'!A1),1)),"'",""))</f>
        <v>Z_5.sz.mell.!$A$1</v>
      </c>
    </row>
    <row r="19" spans="1:3" x14ac:dyDescent="0.2">
      <c r="A19" s="625" t="s">
        <v>523</v>
      </c>
      <c r="B19" s="625" t="s">
        <v>800</v>
      </c>
      <c r="C19" s="626" t="str">
        <f ca="1">HYPERLINK(SUBSTITUTE(CELL("address",'Z_6.1.sz.mell'!A1),"'",""),SUBSTITUTE(MID(CELL("address",'Z_6.1.sz.mell'!A1),SEARCH("]",CELL("address",'Z_6.1.sz.mell'!A1),1)+1,LEN(CELL("address",'Z_6.1.sz.mell'!A1))-SEARCH("]",CELL("address",'Z_6.1.sz.mell'!A1),1)),"'",""))</f>
        <v>Z_6.1.sz.mell!$A$1</v>
      </c>
    </row>
    <row r="20" spans="1:3" x14ac:dyDescent="0.2">
      <c r="A20" s="625" t="s">
        <v>450</v>
      </c>
      <c r="B20" s="625" t="s">
        <v>801</v>
      </c>
      <c r="C20" s="626" t="str">
        <f ca="1">HYPERLINK(SUBSTITUTE(CELL("address",'Z_6.1.1.sz.mell'!A1),"'",""),SUBSTITUTE(MID(CELL("address",'Z_6.1.1.sz.mell'!A1),SEARCH("]",CELL("address",'Z_6.1.1.sz.mell'!A1),1)+1,LEN(CELL("address",'Z_6.1.1.sz.mell'!A1))-SEARCH("]",CELL("address",'Z_6.1.1.sz.mell'!A1),1)),"'",""))</f>
        <v>Z_6.1.1.sz.mell!$A$1</v>
      </c>
    </row>
    <row r="21" spans="1:3" x14ac:dyDescent="0.2">
      <c r="A21" s="625" t="s">
        <v>451</v>
      </c>
      <c r="B21" s="625" t="s">
        <v>323</v>
      </c>
      <c r="C21" s="626" t="str">
        <f ca="1">HYPERLINK(SUBSTITUTE(CELL("address",'Z_6.1.2.sz.mell'!A1),"'",""),SUBSTITUTE(MID(CELL("address",'Z_6.1.2.sz.mell'!A1),SEARCH("]",CELL("address",'Z_6.1.2.sz.mell'!A1),1)+1,LEN(CELL("address",'Z_6.1.2.sz.mell'!A1))-SEARCH("]",CELL("address",'Z_6.1.2.sz.mell'!A1),1)),"'",""))</f>
        <v>Z_6.1.2.sz.mell!$A$1</v>
      </c>
    </row>
    <row r="22" spans="1:3" x14ac:dyDescent="0.2">
      <c r="A22" s="625" t="s">
        <v>802</v>
      </c>
      <c r="B22" s="625" t="s">
        <v>803</v>
      </c>
      <c r="C22" s="626" t="str">
        <f ca="1">HYPERLINK(SUBSTITUTE(CELL("address",'Z_6.1.3.sz.mell'!A1),"'",""),SUBSTITUTE(MID(CELL("address",'Z_6.1.3.sz.mell'!A1),SEARCH("]",CELL("address",'Z_6.1.3.sz.mell'!A1),1)+1,LEN(CELL("address",'Z_6.1.3.sz.mell'!A1))-SEARCH("]",CELL("address",'Z_6.1.3.sz.mell'!A1),1)),"'",""))</f>
        <v>Z_6.1.3.sz.mell!$A$1</v>
      </c>
    </row>
    <row r="23" spans="1:3" x14ac:dyDescent="0.2">
      <c r="A23" s="625" t="s">
        <v>804</v>
      </c>
      <c r="B23" s="625" t="str">
        <f>Z_ALAPADATOK!A11</f>
        <v>Sajószögedi Polgármesteri Hivatal</v>
      </c>
      <c r="C23" s="626" t="str">
        <f ca="1">HYPERLINK(SUBSTITUTE(CELL("address",'Z_6.2.sz.mell'!A1),"'",""),SUBSTITUTE(MID(CELL("address",'Z_6.2.sz.mell'!A1),SEARCH("]",CELL("address",'Z_6.2.sz.mell'!A1),1)+1,LEN(CELL("address",'Z_6.2.sz.mell'!A1))-SEARCH("]",CELL("address",'Z_6.2.sz.mell'!A1),1)),"'",""))</f>
        <v>Z_6.2.sz.mell!$A$1</v>
      </c>
    </row>
    <row r="24" spans="1:3" x14ac:dyDescent="0.2">
      <c r="A24" s="625" t="s">
        <v>805</v>
      </c>
      <c r="B24" t="str">
        <f>Z_ALAPADATOK!B13</f>
        <v>Sajószögedi Általános Művelődési Központ - Család és Gyermekjóléti Szolgálat - Konyha - Művelődési Ház és Könyvtár</v>
      </c>
      <c r="C24" s="626" t="str">
        <f ca="1">HYPERLINK(SUBSTITUTE(CELL("address",'Z_6.3.sz.mell'!A1),"'",""),SUBSTITUTE(MID(CELL("address",'Z_6.3.sz.mell'!A1),SEARCH("]",CELL("address",'Z_6.3.sz.mell'!A1),1)+1,LEN(CELL("address",'Z_6.3.sz.mell'!A1))-SEARCH("]",CELL("address",'Z_6.3.sz.mell'!A1),1)),"'",""))</f>
        <v>Z_6.3.sz.mell!$A$1</v>
      </c>
    </row>
    <row r="25" spans="1:3" x14ac:dyDescent="0.2">
      <c r="A25" s="625" t="s">
        <v>806</v>
      </c>
      <c r="B25" t="str">
        <f>Z_ALAPADATOK!B15</f>
        <v>Sajószögedi Zöld Sziget Bölcsőde</v>
      </c>
      <c r="C25" s="626" t="str">
        <f ca="1">HYPERLINK(SUBSTITUTE(CELL("address",'Z_6.4.sz.mell'!A1),"'",""),SUBSTITUTE(MID(CELL("address",'Z_6.4.sz.mell'!A1),SEARCH("]",CELL("address",'Z_6.4.sz.mell'!A1),1)+1,LEN(CELL("address",'Z_6.4.sz.mell'!A1))-SEARCH("]",CELL("address",'Z_6.4.sz.mell'!A1),1)),"'",""))</f>
        <v>Z_6.4.sz.mell!$A$1</v>
      </c>
    </row>
    <row r="26" spans="1:3" x14ac:dyDescent="0.2">
      <c r="A26" s="625" t="s">
        <v>807</v>
      </c>
      <c r="B26" t="str">
        <f>Z_ALAPADATOK!B17</f>
        <v>3 kvi név</v>
      </c>
      <c r="C26" s="626" t="str">
        <f ca="1">HYPERLINK(SUBSTITUTE(CELL("address",'Z_6.5.sz.mell'!A1),"'",""),SUBSTITUTE(MID(CELL("address",'Z_6.5.sz.mell'!A1),SEARCH("]",CELL("address",'Z_6.5.sz.mell'!A1),1)+1,LEN(CELL("address",'Z_6.5.sz.mell'!A1))-SEARCH("]",CELL("address",'Z_6.5.sz.mell'!A1),1)),"'",""))</f>
        <v>Z_6.5.sz.mell!$A$1</v>
      </c>
    </row>
    <row r="27" spans="1:3" x14ac:dyDescent="0.2">
      <c r="A27" s="625" t="s">
        <v>808</v>
      </c>
      <c r="B27" t="str">
        <f>Z_ALAPADATOK!B19</f>
        <v>4 kvi név</v>
      </c>
      <c r="C27" s="626" t="str">
        <f ca="1">HYPERLINK(SUBSTITUTE(CELL("address",'Z_6.6.sz.mell'!A1),"'",""),SUBSTITUTE(MID(CELL("address",'Z_6.6.sz.mell'!A1),SEARCH("]",CELL("address",'Z_6.6.sz.mell'!A1),1)+1,LEN(CELL("address",'Z_6.6.sz.mell'!A1))-SEARCH("]",CELL("address",'Z_6.6.sz.mell'!A1),1)),"'",""))</f>
        <v>Z_6.6.sz.mell!$A$1</v>
      </c>
    </row>
    <row r="28" spans="1:3" x14ac:dyDescent="0.2">
      <c r="A28" s="625" t="s">
        <v>809</v>
      </c>
      <c r="B28" t="str">
        <f>Z_ALAPADATOK!B21</f>
        <v>5 kvi név</v>
      </c>
      <c r="C28" s="626" t="str">
        <f ca="1">HYPERLINK(SUBSTITUTE(CELL("address",'Z_6.7.sz.mell'!A1),"'",""),SUBSTITUTE(MID(CELL("address",'Z_6.7.sz.mell'!A1),SEARCH("]",CELL("address",'Z_6.7.sz.mell'!A1),1)+1,LEN(CELL("address",'Z_6.7.sz.mell'!A1))-SEARCH("]",CELL("address",'Z_6.7.sz.mell'!A1),1)),"'",""))</f>
        <v>Z_6.7.sz.mell!$A$1</v>
      </c>
    </row>
    <row r="29" spans="1:3" x14ac:dyDescent="0.2">
      <c r="A29" s="625" t="s">
        <v>810</v>
      </c>
      <c r="B29" t="str">
        <f>Z_ALAPADATOK!B23</f>
        <v>6 kvi név</v>
      </c>
      <c r="C29" s="626" t="str">
        <f ca="1">HYPERLINK(SUBSTITUTE(CELL("address",'Z_6.8.sz.mell'!A1),"'",""),SUBSTITUTE(MID(CELL("address",'Z_6.8.sz.mell'!A1),SEARCH("]",CELL("address",'Z_6.8.sz.mell'!A1),1)+1,LEN(CELL("address",'Z_6.8.sz.mell'!A1))-SEARCH("]",CELL("address",'Z_6.8.sz.mell'!A1),1)),"'",""))</f>
        <v>Z_6.8.sz.mell!$A$1</v>
      </c>
    </row>
    <row r="30" spans="1:3" x14ac:dyDescent="0.2">
      <c r="A30" s="625" t="s">
        <v>811</v>
      </c>
      <c r="B30" t="str">
        <f>Z_ALAPADATOK!B25</f>
        <v>7 kvi név</v>
      </c>
      <c r="C30" s="626" t="str">
        <f ca="1">HYPERLINK(SUBSTITUTE(CELL("address",'Z_6.9.sz.mell'!A1),"'",""),SUBSTITUTE(MID(CELL("address",'Z_6.9.sz.mell'!A1),SEARCH("]",CELL("address",'Z_6.9.sz.mell'!A1),1)+1,LEN(CELL("address",'Z_6.9.sz.mell'!A1))-SEARCH("]",CELL("address",'Z_6.9.sz.mell'!A1),1)),"'",""))</f>
        <v>Z_6.9.sz.mell!$A$1</v>
      </c>
    </row>
    <row r="31" spans="1:3" x14ac:dyDescent="0.2">
      <c r="A31" s="625" t="s">
        <v>812</v>
      </c>
      <c r="B31" t="str">
        <f>Z_ALAPADATOK!B27</f>
        <v>8 kvi név</v>
      </c>
      <c r="C31" s="626" t="str">
        <f ca="1">HYPERLINK(SUBSTITUTE(CELL("address",'Z_6.10.sz.mell'!A1),"'",""),SUBSTITUTE(MID(CELL("address",'Z_6.10.sz.mell'!A1),SEARCH("]",CELL("address",'Z_6.10.sz.mell'!A1),1)+1,LEN(CELL("address",'Z_6.10.sz.mell'!A1))-SEARCH("]",CELL("address",'Z_6.10.sz.mell'!A1),1)),"'",""))</f>
        <v>Z_6.10.sz.mell!$A$1</v>
      </c>
    </row>
    <row r="32" spans="1:3" x14ac:dyDescent="0.2">
      <c r="A32" s="625" t="s">
        <v>813</v>
      </c>
      <c r="B32" t="str">
        <f>Z_ALAPADATOK!B29</f>
        <v>9 kvi név</v>
      </c>
      <c r="C32" s="626" t="str">
        <f ca="1">HYPERLINK(SUBSTITUTE(CELL("address",'Z_6.11.sz.mell'!A1),"'",""),SUBSTITUTE(MID(CELL("address",'Z_6.11.sz.mell'!A1),SEARCH("]",CELL("address",'Z_6.11.sz.mell'!A1),1)+1,LEN(CELL("address",'Z_6.11.sz.mell'!A1))-SEARCH("]",CELL("address",'Z_6.11.sz.mell'!A1),1)),"'",""))</f>
        <v>Z_6.11.sz.mell!$A$1</v>
      </c>
    </row>
    <row r="33" spans="1:3" x14ac:dyDescent="0.2">
      <c r="A33" s="625" t="s">
        <v>814</v>
      </c>
      <c r="B33" t="str">
        <f>Z_ALAPADATOK!B31</f>
        <v>10 kvi név</v>
      </c>
      <c r="C33" s="626" t="str">
        <f ca="1">HYPERLINK(SUBSTITUTE(CELL("address",'Z_6.12.sz.mell'!A1),"'",""),SUBSTITUTE(MID(CELL("address",'Z_6.12.sz.mell'!A1),SEARCH("]",CELL("address",'Z_6.12.sz.mell'!A1),1)+1,LEN(CELL("address",'Z_6.12.sz.mell'!A1))-SEARCH("]",CELL("address",'Z_6.12.sz.mell'!A1),1)),"'",""))</f>
        <v>Z_6.12.sz.mell!$A$1</v>
      </c>
    </row>
    <row r="34" spans="1:3" x14ac:dyDescent="0.2">
      <c r="A34" s="625" t="s">
        <v>840</v>
      </c>
      <c r="B34" t="str">
        <f>PROPER('Z_7.sz.mell'!A3)</f>
        <v>Költségvetési Szervek Maradványának Alakulása</v>
      </c>
      <c r="C34" s="626" t="str">
        <f ca="1">HYPERLINK(SUBSTITUTE(CELL("address",'Z_7.sz.mell'!A1),"'",""),SUBSTITUTE(MID(CELL("address",'Z_7.sz.mell'!A1),SEARCH("]",CELL("address",'Z_7.sz.mell'!A1),1)+1,LEN(CELL("address",'Z_7.sz.mell'!A1))-SEARCH("]",CELL("address",'Z_7.sz.mell'!A1),1)),"'",""))</f>
        <v>Z_7.sz.mell!$A$1</v>
      </c>
    </row>
    <row r="35" spans="1:3" x14ac:dyDescent="0.2">
      <c r="A35" s="625" t="s">
        <v>841</v>
      </c>
      <c r="B35" t="str">
        <f>'Z_8.sz.mell'!B1</f>
        <v>2021. évi általános működés és ágazati feladatok támogatásának alakulása jogcímenként</v>
      </c>
      <c r="C35" s="626" t="str">
        <f ca="1">HYPERLINK(SUBSTITUTE(CELL("address",'Z_8.sz.mell'!A1),"'",""),SUBSTITUTE(MID(CELL("address",'Z_8.sz.mell'!A1),SEARCH("]",CELL("address",'Z_8.sz.mell'!A1),1)+1,LEN(CELL("address",'Z_8.sz.mell'!A1))-SEARCH("]",CELL("address",'Z_8.sz.mell'!A1),1)),"'",""))</f>
        <v>Z_8.sz.mell!$A$1</v>
      </c>
    </row>
    <row r="36" spans="1:3" x14ac:dyDescent="0.2">
      <c r="A36" s="625" t="s">
        <v>761</v>
      </c>
      <c r="B36" t="str">
        <f>CONCATENATE(PROPER('Z_1.tájékoztató_t.'!A2)," ",LOWER('Z_1.tájékoztató_t.'!A3))</f>
        <v>Sajószöged Községi Önkormányzat 2021. évi zárszámadásának pénzügyi mérlege</v>
      </c>
      <c r="C36" s="626" t="str">
        <f ca="1">HYPERLINK(SUBSTITUTE(CELL("address",'Z_1.tájékoztató_t.'!A1),"'",""),SUBSTITUTE(MID(CELL("address",'Z_1.tájékoztató_t.'!A1),SEARCH("]",CELL("address",'Z_1.tájékoztató_t.'!A1),1)+1,LEN(CELL("address",'Z_1.tájékoztató_t.'!A1))-SEARCH("]",CELL("address",'Z_1.tájékoztató_t.'!A1),1)),"'",""))</f>
        <v>Z_1.tájékoztató_t.!$A$1</v>
      </c>
    </row>
    <row r="37" spans="1:3" x14ac:dyDescent="0.2">
      <c r="A37" s="625" t="s">
        <v>763</v>
      </c>
      <c r="B37" t="str">
        <f>'Z_2.tájékoztató_t.'!A1</f>
        <v>Többéves kihatással járó döntésekből származó kötzelezettségek célok szerinti, évenkénti bontásban</v>
      </c>
      <c r="C37" s="626" t="str">
        <f ca="1">HYPERLINK(SUBSTITUTE(CELL("address",'Z_2.tájékoztató_t.'!A2),"'",""),SUBSTITUTE(MID(CELL("address",'Z_2.tájékoztató_t.'!A2),SEARCH("]",CELL("address",'Z_2.tájékoztató_t.'!A2),1)+1,LEN(CELL("address",'Z_2.tájékoztató_t.'!A2))-SEARCH("]",CELL("address",'Z_2.tájékoztató_t.'!A2),1)),"'",""))</f>
        <v>Z_2.tájékoztató_t.!$A$2</v>
      </c>
    </row>
    <row r="38" spans="1:3" x14ac:dyDescent="0.2">
      <c r="A38" s="625" t="s">
        <v>764</v>
      </c>
      <c r="B38" t="str">
        <f>'Z_3.tájékoztató_t.'!A1</f>
        <v>Az önkormányzat által nyújtott hitel és kölcsön alakulása lejárat és eszközök szerinti bontásban</v>
      </c>
      <c r="C38" s="626" t="str">
        <f ca="1">HYPERLINK(SUBSTITUTE(CELL("address",'Z_3.tájékoztató_t.'!A1),"'",""),SUBSTITUTE(MID(CELL("address",'Z_3.tájékoztató_t.'!A1),SEARCH("]",CELL("address",'Z_3.tájékoztató_t.'!A1),1)+1,LEN(CELL("address",'Z_3.tájékoztató_t.'!A1))-SEARCH("]",CELL("address",'Z_3.tájékoztató_t.'!A1),1)),"'",""))</f>
        <v>Z_3.tájékoztató_t.!$A$1</v>
      </c>
    </row>
    <row r="39" spans="1:3" x14ac:dyDescent="0.2">
      <c r="A39" s="625" t="s">
        <v>765</v>
      </c>
      <c r="B39" t="str">
        <f>'Z_4.tájékoztató_t.'!A1</f>
        <v>Adósság állomány alakulása lejárat, eszközök, bel- és külföldi hitelezők szerinti bontásban
2021. december 31-én</v>
      </c>
      <c r="C39" s="626" t="str">
        <f ca="1">HYPERLINK(SUBSTITUTE(CELL("address",'Z_4.tájékoztató_t.'!A1),"'",""),SUBSTITUTE(MID(CELL("address",'Z_4.tájékoztató_t.'!A1),SEARCH("]",CELL("address",'Z_4.tájékoztató_t.'!A1),1)+1,LEN(CELL("address",'Z_4.tájékoztató_t.'!A1))-SEARCH("]",CELL("address",'Z_4.tájékoztató_t.'!A1),1)),"'",""))</f>
        <v>Z_4.tájékoztató_t.!$A$1</v>
      </c>
    </row>
    <row r="40" spans="1:3" x14ac:dyDescent="0.2">
      <c r="A40" s="625" t="s">
        <v>766</v>
      </c>
      <c r="B40" t="str">
        <f>'Z_5.tájékoztató_t.'!A3</f>
        <v>Az önkormányzat által adott közvetett támogatások</v>
      </c>
      <c r="C40" s="626" t="str">
        <f ca="1">HYPERLINK(SUBSTITUTE(CELL("address",'Z_5.tájékoztató_t.'!A1),"'",""),SUBSTITUTE(MID(CELL("address",'Z_5.tájékoztató_t.'!A1),SEARCH("]",CELL("address",'Z_5.tájékoztató_t.'!A1),1)+1,LEN(CELL("address",'Z_5.tájékoztató_t.'!A1))-SEARCH("]",CELL("address",'Z_5.tájékoztató_t.'!A1),1)),"'",""))</f>
        <v>Z_5.tájékoztató_t.!$A$1</v>
      </c>
    </row>
    <row r="41" spans="1:3" x14ac:dyDescent="0.2">
      <c r="A41" s="625" t="s">
        <v>770</v>
      </c>
      <c r="B41" t="str">
        <f>CONCATENATE(PROPER('Z_6.tájékoztató_t.'!A3)," ",LOWER('Z_6.tájékoztató_t.'!A4))</f>
        <v>K I M U T A T Á S a 2021. évi céljelleggel juttatott támogatások felhasználásáról</v>
      </c>
      <c r="C41" s="626" t="str">
        <f ca="1">HYPERLINK(SUBSTITUTE(CELL("address",'Z_6.tájékoztató_t.'!A1),"'",""),SUBSTITUTE(MID(CELL("address",'Z_6.tájékoztató_t.'!A1),SEARCH("]",CELL("address",'Z_6.tájékoztató_t.'!A1),1)+1,LEN(CELL("address",'Z_6.tájékoztató_t.'!A1))-SEARCH("]",CELL("address",'Z_6.tájékoztató_t.'!A1),1)),"'",""))</f>
        <v>Z_6.tájékoztató_t.!$A$1</v>
      </c>
    </row>
    <row r="42" spans="1:3" x14ac:dyDescent="0.2">
      <c r="A42" s="625" t="s">
        <v>772</v>
      </c>
      <c r="B42" t="str">
        <f>CONCATENATE(PROPER('Z_7.1.tájékoztató_t.'!A2)," ",'Z_7.1.tájékoztató_t.'!A3)</f>
        <v>Vagyonkimutatás a könyvviteli mérlegben értékkel szerplő eszközökről</v>
      </c>
      <c r="C42" s="626" t="str">
        <f ca="1">HYPERLINK(SUBSTITUTE(CELL("address",'Z_7.1.tájékoztató_t.'!A1),"'",""),SUBSTITUTE(MID(CELL("address",'Z_7.1.tájékoztató_t.'!A1),SEARCH("]",CELL("address",'Z_7.1.tájékoztató_t.'!A1),1)+1,LEN(CELL("address",'Z_7.1.tájékoztató_t.'!A1))-SEARCH("]",CELL("address",'Z_7.1.tájékoztató_t.'!A1),1)),"'",""))</f>
        <v>Z_7.1.tájékoztató_t.!$A$1</v>
      </c>
    </row>
    <row r="43" spans="1:3" x14ac:dyDescent="0.2">
      <c r="A43" s="625" t="s">
        <v>775</v>
      </c>
      <c r="B43" t="str">
        <f>CONCATENATE(PROPER('Z_7.2.tájékoztató_t.'!A3)," ",'Z_7.2.tájékoztató_t.'!A4)</f>
        <v>Vagyonkimutatás a könyvviteli mérlegben értékkel szereplő forrásokról</v>
      </c>
      <c r="C43" s="626" t="str">
        <f ca="1">HYPERLINK(SUBSTITUTE(CELL("address",'Z_7.2.tájékoztató_t.'!A1),"'",""),SUBSTITUTE(MID(CELL("address",'Z_7.2.tájékoztató_t.'!A1),SEARCH("]",CELL("address",'Z_7.2.tájékoztató_t.'!A1),1)+1,LEN(CELL("address",'Z_7.2.tájékoztató_t.'!A1))-SEARCH("]",CELL("address",'Z_7.2.tájékoztató_t.'!A1),1)),"'",""))</f>
        <v>Z_7.2.tájékoztató_t.!$A$1</v>
      </c>
    </row>
    <row r="44" spans="1:3" x14ac:dyDescent="0.2">
      <c r="A44" s="625" t="s">
        <v>776</v>
      </c>
      <c r="B44" t="str">
        <f>CONCATENATE(PROPER('Z_7.3.tájékoztató_t.'!A3)," ",'Z_7.3.tájékoztató_t.'!A4)</f>
        <v>Vagyonkimutatás az érték nélkül nyilvántartott eszkzözkről</v>
      </c>
      <c r="C44" s="626" t="str">
        <f ca="1">HYPERLINK(SUBSTITUTE(CELL("address",'Z_7.3.tájékoztató_t.'!A1),"'",""),SUBSTITUTE(MID(CELL("address",'Z_7.3.tájékoztató_t.'!A1),SEARCH("]",CELL("address",'Z_7.3.tájékoztató_t.'!A1),1)+1,LEN(CELL("address",'Z_7.3.tájékoztató_t.'!A1))-SEARCH("]",CELL("address",'Z_7.3.tájékoztató_t.'!A1),1)),"'",""))</f>
        <v>Z_7.3.tájékoztató_t.!$A$1</v>
      </c>
    </row>
    <row r="45" spans="1:3" x14ac:dyDescent="0.2">
      <c r="A45" s="625" t="s">
        <v>778</v>
      </c>
      <c r="B45" t="str">
        <f>CONCATENATE('Z_8.tájékoztató_t.'!A2,'Z_8.tájékoztató_t.'!A3)</f>
        <v>Sajószöged Községi Önkormányzat tulajdonában álló gazdálkodó szervezetek működéséből származókötelezettségek és részesedések alakulása 2021. évben</v>
      </c>
      <c r="C45" s="626" t="str">
        <f ca="1">HYPERLINK(SUBSTITUTE(CELL("address",'Z_8.tájékoztató_t.'!A1),"'",""),SUBSTITUTE(MID(CELL("address",'Z_8.tájékoztató_t.'!A1),SEARCH("]",CELL("address",'Z_8.tájékoztató_t.'!A1),1)+1,LEN(CELL("address",'Z_8.tájékoztató_t.'!A1))-SEARCH("]",CELL("address",'Z_8.tájékoztató_t.'!A1),1)),"'",""))</f>
        <v>Z_8.tájékoztató_t.!$A$1</v>
      </c>
    </row>
    <row r="46" spans="1:3" x14ac:dyDescent="0.2">
      <c r="A46" s="625" t="s">
        <v>779</v>
      </c>
      <c r="B46" t="s">
        <v>816</v>
      </c>
      <c r="C46" s="626" t="str">
        <f ca="1">HYPERLINK(SUBSTITUTE(CELL("address",'Z_9.tájékoztató_t.'!A1),"'",""),SUBSTITUTE(MID(CELL("address",'Z_9.tájékoztató_t.'!A1),SEARCH("]",CELL("address",'Z_9.tájékoztató_t.'!A1),1)+1,LEN(CELL("address",'Z_9.tájékoztató_t.'!A1))-SEARCH("]",CELL("address",'Z_9.tájékoztató_t.'!A1),1)),"'",""))</f>
        <v>Z_9.tájékoztató_t.!$A$1</v>
      </c>
    </row>
  </sheetData>
  <sheetProtection sheet="1"/>
  <mergeCells count="2">
    <mergeCell ref="A2:C2"/>
    <mergeCell ref="A6:C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18D0-4948-4772-AF1E-51DE8D39FD64}">
  <sheetPr>
    <pageSetUpPr fitToPage="1"/>
  </sheetPr>
  <dimension ref="A1:M33"/>
  <sheetViews>
    <sheetView zoomScale="120" zoomScaleNormal="120" workbookViewId="0">
      <selection activeCell="D7" sqref="D7"/>
    </sheetView>
  </sheetViews>
  <sheetFormatPr defaultRowHeight="12.75" x14ac:dyDescent="0.2"/>
  <cols>
    <col min="1" max="1" width="43.33203125" customWidth="1"/>
    <col min="2" max="2" width="49.1640625" customWidth="1"/>
    <col min="3" max="3" width="1.33203125" bestFit="1" customWidth="1"/>
    <col min="4" max="4" width="6.83203125" customWidth="1"/>
    <col min="5" max="5" width="1.5" bestFit="1" customWidth="1"/>
    <col min="7" max="7" width="1.5" bestFit="1" customWidth="1"/>
    <col min="8" max="8" width="10.5" customWidth="1"/>
    <col min="10" max="13" width="0" hidden="1" customWidth="1"/>
  </cols>
  <sheetData>
    <row r="1" spans="1:13" x14ac:dyDescent="0.2">
      <c r="A1" s="616"/>
      <c r="B1" s="699">
        <f>Z_TARTALOMJEGYZÉK!A1</f>
        <v>2021</v>
      </c>
      <c r="C1" s="699" t="s">
        <v>842</v>
      </c>
      <c r="D1" s="699"/>
      <c r="E1" s="616"/>
      <c r="F1" s="616"/>
      <c r="G1" s="616"/>
      <c r="H1" s="616"/>
      <c r="I1" s="616"/>
    </row>
    <row r="2" spans="1:13" ht="15.75" x14ac:dyDescent="0.25">
      <c r="A2" s="808" t="s">
        <v>492</v>
      </c>
      <c r="B2" s="808"/>
      <c r="C2" s="808"/>
      <c r="D2" s="808"/>
      <c r="E2" s="808"/>
      <c r="F2" s="808"/>
      <c r="G2" s="616"/>
      <c r="H2" s="616"/>
      <c r="I2" s="616"/>
    </row>
    <row r="3" spans="1:13" ht="15.75" x14ac:dyDescent="0.25">
      <c r="A3" s="811" t="s">
        <v>872</v>
      </c>
      <c r="B3" s="811"/>
      <c r="C3" s="811"/>
      <c r="D3" s="811"/>
      <c r="E3" s="811"/>
      <c r="F3" s="811"/>
      <c r="G3" s="811"/>
      <c r="H3" s="616"/>
      <c r="I3" s="616"/>
    </row>
    <row r="4" spans="1:13" x14ac:dyDescent="0.2">
      <c r="A4" s="616"/>
      <c r="B4" s="616"/>
      <c r="C4" s="616"/>
      <c r="D4" s="616"/>
      <c r="E4" s="616"/>
      <c r="F4" s="616"/>
      <c r="G4" s="616"/>
      <c r="H4" s="616"/>
      <c r="I4" s="616"/>
    </row>
    <row r="5" spans="1:13" x14ac:dyDescent="0.2">
      <c r="A5" s="616"/>
      <c r="B5" s="616"/>
      <c r="C5" s="616"/>
      <c r="D5" s="616"/>
      <c r="E5" s="616"/>
      <c r="F5" s="616"/>
      <c r="G5" s="616"/>
      <c r="H5" s="616"/>
      <c r="I5" s="616"/>
    </row>
    <row r="6" spans="1:13" ht="15" x14ac:dyDescent="0.25">
      <c r="A6" s="700" t="s">
        <v>825</v>
      </c>
      <c r="B6" s="616"/>
      <c r="C6" s="616"/>
      <c r="D6" s="616"/>
      <c r="E6" s="616"/>
      <c r="F6" s="616"/>
      <c r="G6" s="616"/>
      <c r="H6" s="616"/>
      <c r="I6" s="616"/>
    </row>
    <row r="7" spans="1:13" x14ac:dyDescent="0.2">
      <c r="A7" s="701" t="s">
        <v>818</v>
      </c>
      <c r="B7" s="651" t="s">
        <v>819</v>
      </c>
      <c r="C7" s="616" t="s">
        <v>820</v>
      </c>
      <c r="D7" s="616" t="str">
        <f>CONCATENATE(Z_TARTALOMJEGYZÉK!A1+1,".")</f>
        <v>2022.</v>
      </c>
      <c r="E7" s="616" t="s">
        <v>821</v>
      </c>
      <c r="F7" s="651" t="s">
        <v>819</v>
      </c>
      <c r="G7" s="616" t="s">
        <v>822</v>
      </c>
      <c r="H7" s="616" t="s">
        <v>823</v>
      </c>
      <c r="I7" s="616"/>
    </row>
    <row r="8" spans="1:13" x14ac:dyDescent="0.2">
      <c r="A8" s="701"/>
      <c r="B8" s="702"/>
      <c r="C8" s="616"/>
      <c r="D8" s="616"/>
      <c r="E8" s="616"/>
      <c r="F8" s="702"/>
      <c r="G8" s="616"/>
      <c r="H8" s="616"/>
      <c r="I8" s="616"/>
    </row>
    <row r="9" spans="1:13" x14ac:dyDescent="0.2">
      <c r="A9" s="701"/>
      <c r="B9" s="702"/>
      <c r="C9" s="616"/>
      <c r="D9" s="616"/>
      <c r="E9" s="616"/>
      <c r="F9" s="702"/>
      <c r="G9" s="616"/>
      <c r="H9" s="616"/>
      <c r="I9" s="616"/>
    </row>
    <row r="10" spans="1:13" ht="13.5" thickBot="1" x14ac:dyDescent="0.25">
      <c r="A10" s="616"/>
      <c r="B10" s="616"/>
      <c r="C10" s="616"/>
      <c r="D10" s="616"/>
      <c r="E10" s="616"/>
      <c r="F10" s="616"/>
      <c r="G10" s="616"/>
      <c r="H10" s="653" t="s">
        <v>853</v>
      </c>
      <c r="I10" s="616"/>
    </row>
    <row r="11" spans="1:13" ht="17.25" thickTop="1" thickBot="1" x14ac:dyDescent="0.3">
      <c r="A11" s="809" t="s">
        <v>875</v>
      </c>
      <c r="B11" s="809"/>
      <c r="C11" s="809"/>
      <c r="D11" s="809"/>
      <c r="E11" s="809"/>
      <c r="F11" s="809"/>
      <c r="G11" s="810"/>
      <c r="H11" s="703" t="s">
        <v>858</v>
      </c>
      <c r="I11" s="616"/>
      <c r="J11" s="654" t="s">
        <v>11</v>
      </c>
      <c r="K11">
        <f>IF($H$11="Nem","",2)</f>
        <v>2</v>
      </c>
      <c r="L11" t="s">
        <v>854</v>
      </c>
      <c r="M11" t="str">
        <f>CONCATENATE(J11,K11,L11)</f>
        <v>6.2.</v>
      </c>
    </row>
    <row r="12" spans="1:13" ht="13.5" thickTop="1" x14ac:dyDescent="0.2">
      <c r="A12" s="616"/>
      <c r="B12" s="616"/>
      <c r="C12" s="616"/>
      <c r="D12" s="616"/>
      <c r="E12" s="616"/>
      <c r="F12" s="616"/>
      <c r="G12" s="616"/>
      <c r="H12" s="616"/>
      <c r="I12" s="616"/>
    </row>
    <row r="13" spans="1:13" ht="14.25" x14ac:dyDescent="0.2">
      <c r="A13" s="704" t="s">
        <v>493</v>
      </c>
      <c r="B13" s="812" t="s">
        <v>873</v>
      </c>
      <c r="C13" s="813"/>
      <c r="D13" s="813"/>
      <c r="E13" s="813"/>
      <c r="F13" s="813"/>
      <c r="G13" s="813"/>
      <c r="H13" s="616"/>
      <c r="I13" s="616"/>
      <c r="J13" s="654" t="s">
        <v>11</v>
      </c>
      <c r="K13">
        <f>IF(H11="Nem",2,3)</f>
        <v>3</v>
      </c>
      <c r="L13" t="s">
        <v>854</v>
      </c>
      <c r="M13" t="str">
        <f>CONCATENATE(J13,K13,L13)</f>
        <v>6.3.</v>
      </c>
    </row>
    <row r="14" spans="1:13" ht="14.25" x14ac:dyDescent="0.2">
      <c r="A14" s="616"/>
      <c r="B14" s="652"/>
      <c r="C14" s="616"/>
      <c r="D14" s="616"/>
      <c r="E14" s="616"/>
      <c r="F14" s="616"/>
      <c r="G14" s="616"/>
      <c r="H14" s="616"/>
      <c r="I14" s="616"/>
    </row>
    <row r="15" spans="1:13" ht="14.25" x14ac:dyDescent="0.2">
      <c r="A15" s="704" t="s">
        <v>494</v>
      </c>
      <c r="B15" s="812" t="s">
        <v>874</v>
      </c>
      <c r="C15" s="813"/>
      <c r="D15" s="813"/>
      <c r="E15" s="813"/>
      <c r="F15" s="813"/>
      <c r="G15" s="813"/>
      <c r="H15" s="616"/>
      <c r="I15" s="616"/>
      <c r="J15" s="654" t="s">
        <v>11</v>
      </c>
      <c r="K15">
        <f>K13+1</f>
        <v>4</v>
      </c>
      <c r="L15" t="s">
        <v>854</v>
      </c>
      <c r="M15" t="str">
        <f>CONCATENATE(J15,K15,L15)</f>
        <v>6.4.</v>
      </c>
    </row>
    <row r="16" spans="1:13" ht="14.25" x14ac:dyDescent="0.2">
      <c r="A16" s="616"/>
      <c r="B16" s="652"/>
      <c r="C16" s="616"/>
      <c r="D16" s="616"/>
      <c r="E16" s="616"/>
      <c r="F16" s="616"/>
      <c r="G16" s="616"/>
      <c r="H16" s="616"/>
      <c r="I16" s="616"/>
    </row>
    <row r="17" spans="1:13" ht="14.25" x14ac:dyDescent="0.2">
      <c r="A17" s="704" t="s">
        <v>495</v>
      </c>
      <c r="B17" s="812" t="s">
        <v>496</v>
      </c>
      <c r="C17" s="813"/>
      <c r="D17" s="813"/>
      <c r="E17" s="813"/>
      <c r="F17" s="813"/>
      <c r="G17" s="813"/>
      <c r="H17" s="616"/>
      <c r="I17" s="616"/>
      <c r="J17" s="654" t="s">
        <v>11</v>
      </c>
      <c r="K17">
        <f>K15+1</f>
        <v>5</v>
      </c>
      <c r="L17" t="s">
        <v>854</v>
      </c>
      <c r="M17" t="str">
        <f>CONCATENATE(J17,K17,L17)</f>
        <v>6.5.</v>
      </c>
    </row>
    <row r="18" spans="1:13" ht="14.25" x14ac:dyDescent="0.2">
      <c r="A18" s="616"/>
      <c r="B18" s="652"/>
      <c r="C18" s="616"/>
      <c r="D18" s="616"/>
      <c r="E18" s="616"/>
      <c r="F18" s="616"/>
      <c r="G18" s="616"/>
      <c r="H18" s="616"/>
      <c r="I18" s="616"/>
    </row>
    <row r="19" spans="1:13" ht="14.25" x14ac:dyDescent="0.2">
      <c r="A19" s="704" t="s">
        <v>497</v>
      </c>
      <c r="B19" s="812" t="s">
        <v>498</v>
      </c>
      <c r="C19" s="813"/>
      <c r="D19" s="813"/>
      <c r="E19" s="813"/>
      <c r="F19" s="813"/>
      <c r="G19" s="813"/>
      <c r="H19" s="616"/>
      <c r="I19" s="616"/>
      <c r="J19" s="654" t="s">
        <v>11</v>
      </c>
      <c r="K19">
        <f>K17+1</f>
        <v>6</v>
      </c>
      <c r="L19" t="s">
        <v>854</v>
      </c>
      <c r="M19" t="str">
        <f>CONCATENATE(J19,K19,L19)</f>
        <v>6.6.</v>
      </c>
    </row>
    <row r="20" spans="1:13" ht="14.25" x14ac:dyDescent="0.2">
      <c r="A20" s="616"/>
      <c r="B20" s="652"/>
      <c r="C20" s="616"/>
      <c r="D20" s="616"/>
      <c r="E20" s="616"/>
      <c r="F20" s="616"/>
      <c r="G20" s="616"/>
      <c r="H20" s="616"/>
      <c r="I20" s="616"/>
    </row>
    <row r="21" spans="1:13" ht="14.25" x14ac:dyDescent="0.2">
      <c r="A21" s="704" t="s">
        <v>499</v>
      </c>
      <c r="B21" s="812" t="s">
        <v>500</v>
      </c>
      <c r="C21" s="813"/>
      <c r="D21" s="813"/>
      <c r="E21" s="813"/>
      <c r="F21" s="813"/>
      <c r="G21" s="813"/>
      <c r="H21" s="616"/>
      <c r="I21" s="616"/>
      <c r="J21" s="654" t="s">
        <v>11</v>
      </c>
      <c r="K21">
        <f>K19+1</f>
        <v>7</v>
      </c>
      <c r="L21" t="s">
        <v>854</v>
      </c>
      <c r="M21" t="str">
        <f>CONCATENATE(J21,K21,L21)</f>
        <v>6.7.</v>
      </c>
    </row>
    <row r="22" spans="1:13" ht="14.25" x14ac:dyDescent="0.2">
      <c r="A22" s="616"/>
      <c r="B22" s="652"/>
      <c r="C22" s="616"/>
      <c r="D22" s="616"/>
      <c r="E22" s="616"/>
      <c r="F22" s="616"/>
      <c r="G22" s="616"/>
      <c r="H22" s="616"/>
      <c r="I22" s="616"/>
    </row>
    <row r="23" spans="1:13" ht="14.25" x14ac:dyDescent="0.2">
      <c r="A23" s="704" t="s">
        <v>501</v>
      </c>
      <c r="B23" s="812" t="s">
        <v>502</v>
      </c>
      <c r="C23" s="813"/>
      <c r="D23" s="813"/>
      <c r="E23" s="813"/>
      <c r="F23" s="813"/>
      <c r="G23" s="813"/>
      <c r="H23" s="616"/>
      <c r="I23" s="616"/>
      <c r="J23" s="654" t="s">
        <v>11</v>
      </c>
      <c r="K23">
        <f>K21+1</f>
        <v>8</v>
      </c>
      <c r="L23" t="s">
        <v>854</v>
      </c>
      <c r="M23" t="str">
        <f>CONCATENATE(J23,K23,L23)</f>
        <v>6.8.</v>
      </c>
    </row>
    <row r="24" spans="1:13" ht="14.25" x14ac:dyDescent="0.2">
      <c r="A24" s="616"/>
      <c r="B24" s="652"/>
      <c r="C24" s="616"/>
      <c r="D24" s="616"/>
      <c r="E24" s="616"/>
      <c r="F24" s="616"/>
      <c r="G24" s="616"/>
      <c r="H24" s="616"/>
      <c r="I24" s="616"/>
    </row>
    <row r="25" spans="1:13" ht="14.25" x14ac:dyDescent="0.2">
      <c r="A25" s="704" t="s">
        <v>503</v>
      </c>
      <c r="B25" s="812" t="s">
        <v>504</v>
      </c>
      <c r="C25" s="813"/>
      <c r="D25" s="813"/>
      <c r="E25" s="813"/>
      <c r="F25" s="813"/>
      <c r="G25" s="813"/>
      <c r="H25" s="616"/>
      <c r="I25" s="616"/>
      <c r="J25" s="654" t="s">
        <v>11</v>
      </c>
      <c r="K25">
        <f>K23+1</f>
        <v>9</v>
      </c>
      <c r="L25" t="s">
        <v>854</v>
      </c>
      <c r="M25" t="str">
        <f>CONCATENATE(J25,K25,L25)</f>
        <v>6.9.</v>
      </c>
    </row>
    <row r="26" spans="1:13" ht="14.25" x14ac:dyDescent="0.2">
      <c r="A26" s="616"/>
      <c r="B26" s="652"/>
      <c r="C26" s="616"/>
      <c r="D26" s="616"/>
      <c r="E26" s="616"/>
      <c r="F26" s="616"/>
      <c r="G26" s="616"/>
      <c r="H26" s="616"/>
      <c r="I26" s="616"/>
    </row>
    <row r="27" spans="1:13" ht="14.25" x14ac:dyDescent="0.2">
      <c r="A27" s="704" t="s">
        <v>505</v>
      </c>
      <c r="B27" s="812" t="s">
        <v>506</v>
      </c>
      <c r="C27" s="813"/>
      <c r="D27" s="813"/>
      <c r="E27" s="813"/>
      <c r="F27" s="813"/>
      <c r="G27" s="813"/>
      <c r="H27" s="616"/>
      <c r="I27" s="616"/>
      <c r="J27" s="654" t="s">
        <v>11</v>
      </c>
      <c r="K27">
        <f>K25+1</f>
        <v>10</v>
      </c>
      <c r="L27" t="s">
        <v>854</v>
      </c>
      <c r="M27" t="str">
        <f>CONCATENATE(J27,K27,L27)</f>
        <v>6.10.</v>
      </c>
    </row>
    <row r="28" spans="1:13" ht="14.25" x14ac:dyDescent="0.2">
      <c r="A28" s="616"/>
      <c r="B28" s="652"/>
      <c r="C28" s="616"/>
      <c r="D28" s="616"/>
      <c r="E28" s="616"/>
      <c r="F28" s="616"/>
      <c r="G28" s="616"/>
      <c r="H28" s="616"/>
      <c r="I28" s="616"/>
    </row>
    <row r="29" spans="1:13" ht="14.25" x14ac:dyDescent="0.2">
      <c r="A29" s="704" t="s">
        <v>505</v>
      </c>
      <c r="B29" s="812" t="s">
        <v>507</v>
      </c>
      <c r="C29" s="813"/>
      <c r="D29" s="813"/>
      <c r="E29" s="813"/>
      <c r="F29" s="813"/>
      <c r="G29" s="813"/>
      <c r="H29" s="616"/>
      <c r="I29" s="616"/>
      <c r="J29" s="654" t="s">
        <v>11</v>
      </c>
      <c r="K29">
        <f>K27+1</f>
        <v>11</v>
      </c>
      <c r="L29" t="s">
        <v>854</v>
      </c>
      <c r="M29" t="str">
        <f>CONCATENATE(J29,K29,L29)</f>
        <v>6.11.</v>
      </c>
    </row>
    <row r="30" spans="1:13" ht="14.25" x14ac:dyDescent="0.2">
      <c r="A30" s="616"/>
      <c r="B30" s="652"/>
      <c r="C30" s="616"/>
      <c r="D30" s="616"/>
      <c r="E30" s="616"/>
      <c r="F30" s="616"/>
      <c r="G30" s="616"/>
      <c r="H30" s="616"/>
      <c r="I30" s="616"/>
    </row>
    <row r="31" spans="1:13" ht="14.25" x14ac:dyDescent="0.2">
      <c r="A31" s="704" t="s">
        <v>508</v>
      </c>
      <c r="B31" s="812" t="s">
        <v>509</v>
      </c>
      <c r="C31" s="813"/>
      <c r="D31" s="813"/>
      <c r="E31" s="813"/>
      <c r="F31" s="813"/>
      <c r="G31" s="813"/>
      <c r="H31" s="616"/>
      <c r="I31" s="616"/>
      <c r="J31" s="654" t="s">
        <v>11</v>
      </c>
      <c r="K31">
        <f>K29+1</f>
        <v>12</v>
      </c>
      <c r="L31" t="s">
        <v>854</v>
      </c>
      <c r="M31" t="str">
        <f>CONCATENATE(J31,K31,L31)</f>
        <v>6.12.</v>
      </c>
    </row>
    <row r="32" spans="1:13" x14ac:dyDescent="0.2">
      <c r="A32" s="616"/>
      <c r="B32" s="616"/>
      <c r="C32" s="616"/>
      <c r="D32" s="616"/>
      <c r="E32" s="616"/>
      <c r="F32" s="616"/>
      <c r="G32" s="616"/>
      <c r="H32" s="616"/>
      <c r="I32" s="616"/>
    </row>
    <row r="33" spans="1:9" x14ac:dyDescent="0.2">
      <c r="A33" s="616"/>
      <c r="B33" s="616"/>
      <c r="C33" s="616"/>
      <c r="D33" s="616"/>
      <c r="E33" s="616"/>
      <c r="F33" s="616"/>
      <c r="G33" s="616"/>
      <c r="H33" s="616"/>
      <c r="I33" s="616"/>
    </row>
  </sheetData>
  <sheetProtection sheet="1"/>
  <mergeCells count="13">
    <mergeCell ref="B31:G31"/>
    <mergeCell ref="B19:G19"/>
    <mergeCell ref="B21:G21"/>
    <mergeCell ref="B23:G23"/>
    <mergeCell ref="B25:G25"/>
    <mergeCell ref="B27:G27"/>
    <mergeCell ref="B29:G29"/>
    <mergeCell ref="A2:F2"/>
    <mergeCell ref="A11:G11"/>
    <mergeCell ref="A3:G3"/>
    <mergeCell ref="B13:G13"/>
    <mergeCell ref="B15:G15"/>
    <mergeCell ref="B17:G17"/>
  </mergeCells>
  <phoneticPr fontId="24" type="noConversion"/>
  <conditionalFormatting sqref="A11">
    <cfRule type="expression" dxfId="2" priority="1" stopIfTrue="1">
      <formula>$H$11="Nem"</formula>
    </cfRule>
  </conditionalFormatting>
  <dataValidations count="2">
    <dataValidation type="list" allowBlank="1" showInputMessage="1" showErrorMessage="1" sqref="A6" xr:uid="{26655191-B78A-45EE-8271-AE85FF9D36A2}">
      <formula1>",Előterjesztéskor,Jóváhagyás után"</formula1>
    </dataValidation>
    <dataValidation type="list" allowBlank="1" showInputMessage="1" showErrorMessage="1" sqref="H11" xr:uid="{6EF172EB-B82B-49F6-A2F4-4F66089A645D}">
      <formula1>"Igen,Nem"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587B8-E4DA-43BF-8A93-D5828E2CDA3E}">
  <sheetPr>
    <tabColor theme="0" tint="-0.499984740745262"/>
  </sheetPr>
  <dimension ref="A1:B41"/>
  <sheetViews>
    <sheetView zoomScale="120" zoomScaleNormal="120" workbookViewId="0">
      <selection activeCell="B31" sqref="B31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1" spans="1:2" ht="18.75" x14ac:dyDescent="0.3">
      <c r="A1" s="279" t="s">
        <v>519</v>
      </c>
      <c r="B1" s="82"/>
    </row>
    <row r="2" spans="1:2" x14ac:dyDescent="0.2">
      <c r="A2" s="82"/>
      <c r="B2" s="82"/>
    </row>
    <row r="3" spans="1:2" x14ac:dyDescent="0.2">
      <c r="A3" s="281"/>
      <c r="B3" s="281"/>
    </row>
    <row r="4" spans="1:2" ht="15.75" x14ac:dyDescent="0.25">
      <c r="A4" s="84"/>
      <c r="B4" s="285"/>
    </row>
    <row r="5" spans="1:2" ht="15.75" x14ac:dyDescent="0.25">
      <c r="A5" s="84"/>
      <c r="B5" s="285"/>
    </row>
    <row r="6" spans="1:2" s="69" customFormat="1" ht="15.75" x14ac:dyDescent="0.25">
      <c r="A6" s="84" t="str">
        <f>CONCATENATE(Z_ALAPADATOK!B1,". évi eredeti előirányzat BEVÉTELEK")</f>
        <v>2021. évi eredeti előirányzat BEVÉTELEK</v>
      </c>
      <c r="B6" s="281"/>
    </row>
    <row r="7" spans="1:2" s="69" customFormat="1" x14ac:dyDescent="0.2">
      <c r="A7" s="281"/>
      <c r="B7" s="281"/>
    </row>
    <row r="8" spans="1:2" s="69" customFormat="1" x14ac:dyDescent="0.2">
      <c r="A8" s="281"/>
      <c r="B8" s="281"/>
    </row>
    <row r="9" spans="1:2" x14ac:dyDescent="0.2">
      <c r="A9" s="281" t="s">
        <v>455</v>
      </c>
      <c r="B9" s="281" t="s">
        <v>425</v>
      </c>
    </row>
    <row r="10" spans="1:2" x14ac:dyDescent="0.2">
      <c r="A10" s="281" t="s">
        <v>453</v>
      </c>
      <c r="B10" s="281" t="s">
        <v>431</v>
      </c>
    </row>
    <row r="11" spans="1:2" x14ac:dyDescent="0.2">
      <c r="A11" s="281" t="s">
        <v>454</v>
      </c>
      <c r="B11" s="281" t="s">
        <v>432</v>
      </c>
    </row>
    <row r="12" spans="1:2" x14ac:dyDescent="0.2">
      <c r="A12" s="281"/>
      <c r="B12" s="281"/>
    </row>
    <row r="13" spans="1:2" ht="15.75" x14ac:dyDescent="0.25">
      <c r="A13" s="84" t="str">
        <f>+CONCATENATE(LEFT(A6,4),". évi módosított előirányzat BEVÉTELEK")</f>
        <v>2021. évi módosított előirányzat BEVÉTELEK</v>
      </c>
      <c r="B13" s="285"/>
    </row>
    <row r="14" spans="1:2" x14ac:dyDescent="0.2">
      <c r="A14" s="281"/>
      <c r="B14" s="281"/>
    </row>
    <row r="15" spans="1:2" s="69" customFormat="1" x14ac:dyDescent="0.2">
      <c r="A15" s="281" t="s">
        <v>456</v>
      </c>
      <c r="B15" s="281" t="s">
        <v>426</v>
      </c>
    </row>
    <row r="16" spans="1:2" x14ac:dyDescent="0.2">
      <c r="A16" s="281" t="s">
        <v>457</v>
      </c>
      <c r="B16" s="281" t="s">
        <v>433</v>
      </c>
    </row>
    <row r="17" spans="1:2" x14ac:dyDescent="0.2">
      <c r="A17" s="281" t="s">
        <v>458</v>
      </c>
      <c r="B17" s="281" t="s">
        <v>434</v>
      </c>
    </row>
    <row r="18" spans="1:2" x14ac:dyDescent="0.2">
      <c r="A18" s="281"/>
      <c r="B18" s="281"/>
    </row>
    <row r="19" spans="1:2" ht="14.25" x14ac:dyDescent="0.2">
      <c r="A19" s="288" t="str">
        <f>+CONCATENATE(LEFT(A6,4),".évi teljesített BEVÉTELEK")</f>
        <v>2021.évi teljesített BEVÉTELEK</v>
      </c>
      <c r="B19" s="285"/>
    </row>
    <row r="20" spans="1:2" x14ac:dyDescent="0.2">
      <c r="A20" s="281"/>
      <c r="B20" s="281"/>
    </row>
    <row r="21" spans="1:2" x14ac:dyDescent="0.2">
      <c r="A21" s="281" t="s">
        <v>459</v>
      </c>
      <c r="B21" s="281" t="s">
        <v>427</v>
      </c>
    </row>
    <row r="22" spans="1:2" x14ac:dyDescent="0.2">
      <c r="A22" s="281" t="s">
        <v>460</v>
      </c>
      <c r="B22" s="281" t="s">
        <v>435</v>
      </c>
    </row>
    <row r="23" spans="1:2" x14ac:dyDescent="0.2">
      <c r="A23" s="281" t="s">
        <v>461</v>
      </c>
      <c r="B23" s="281" t="s">
        <v>436</v>
      </c>
    </row>
    <row r="24" spans="1:2" x14ac:dyDescent="0.2">
      <c r="A24" s="281"/>
      <c r="B24" s="281"/>
    </row>
    <row r="25" spans="1:2" ht="15.75" x14ac:dyDescent="0.25">
      <c r="A25" s="84" t="str">
        <f>+CONCATENATE(LEFT(A6,4),". évi eredeti előirányzat KIADÁSOK")</f>
        <v>2021. évi eredeti előirányzat KIADÁSOK</v>
      </c>
      <c r="B25" s="285"/>
    </row>
    <row r="26" spans="1:2" x14ac:dyDescent="0.2">
      <c r="A26" s="281"/>
      <c r="B26" s="281"/>
    </row>
    <row r="27" spans="1:2" x14ac:dyDescent="0.2">
      <c r="A27" s="281" t="s">
        <v>462</v>
      </c>
      <c r="B27" s="281" t="s">
        <v>428</v>
      </c>
    </row>
    <row r="28" spans="1:2" x14ac:dyDescent="0.2">
      <c r="A28" s="281" t="s">
        <v>463</v>
      </c>
      <c r="B28" s="281" t="s">
        <v>437</v>
      </c>
    </row>
    <row r="29" spans="1:2" x14ac:dyDescent="0.2">
      <c r="A29" s="281" t="s">
        <v>464</v>
      </c>
      <c r="B29" s="281" t="s">
        <v>438</v>
      </c>
    </row>
    <row r="30" spans="1:2" x14ac:dyDescent="0.2">
      <c r="A30" s="281"/>
      <c r="B30" s="281"/>
    </row>
    <row r="31" spans="1:2" ht="15.75" x14ac:dyDescent="0.25">
      <c r="A31" s="84" t="str">
        <f>+CONCATENATE(LEFT(A6,4),". évi módosított előirányzat KIADÁSOK")</f>
        <v>2021. évi módosított előirányzat KIADÁSOK</v>
      </c>
      <c r="B31" s="285"/>
    </row>
    <row r="32" spans="1:2" x14ac:dyDescent="0.2">
      <c r="A32" s="281"/>
      <c r="B32" s="281"/>
    </row>
    <row r="33" spans="1:2" x14ac:dyDescent="0.2">
      <c r="A33" s="281" t="s">
        <v>465</v>
      </c>
      <c r="B33" s="281" t="s">
        <v>429</v>
      </c>
    </row>
    <row r="34" spans="1:2" x14ac:dyDescent="0.2">
      <c r="A34" s="281" t="s">
        <v>466</v>
      </c>
      <c r="B34" s="281" t="s">
        <v>439</v>
      </c>
    </row>
    <row r="35" spans="1:2" x14ac:dyDescent="0.2">
      <c r="A35" s="281" t="s">
        <v>467</v>
      </c>
      <c r="B35" s="281" t="s">
        <v>440</v>
      </c>
    </row>
    <row r="36" spans="1:2" x14ac:dyDescent="0.2">
      <c r="A36" s="281"/>
      <c r="B36" s="281"/>
    </row>
    <row r="37" spans="1:2" ht="15.75" x14ac:dyDescent="0.25">
      <c r="A37" s="287" t="str">
        <f>+CONCATENATE(LEFT(A6,4),".évi teljesített KIADÁSOK")</f>
        <v>2021.évi teljesített KIADÁSOK</v>
      </c>
      <c r="B37" s="285"/>
    </row>
    <row r="38" spans="1:2" x14ac:dyDescent="0.2">
      <c r="A38" s="281"/>
      <c r="B38" s="281"/>
    </row>
    <row r="39" spans="1:2" x14ac:dyDescent="0.2">
      <c r="A39" s="281" t="s">
        <v>468</v>
      </c>
      <c r="B39" s="281" t="s">
        <v>430</v>
      </c>
    </row>
    <row r="40" spans="1:2" x14ac:dyDescent="0.2">
      <c r="A40" s="281" t="s">
        <v>469</v>
      </c>
      <c r="B40" s="281" t="s">
        <v>441</v>
      </c>
    </row>
    <row r="41" spans="1:2" x14ac:dyDescent="0.2">
      <c r="A41" s="281" t="s">
        <v>470</v>
      </c>
      <c r="B41" s="281" t="s">
        <v>442</v>
      </c>
    </row>
  </sheetData>
  <sheetProtection sheet="1"/>
  <phoneticPr fontId="24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CD1E-786B-4D48-80B6-FC13986CD85C}">
  <sheetPr codeName="Munka2">
    <tabColor theme="5"/>
  </sheetPr>
  <dimension ref="A1:I173"/>
  <sheetViews>
    <sheetView topLeftCell="A130" zoomScale="112" zoomScaleNormal="112" zoomScaleSheetLayoutView="100" workbookViewId="0">
      <selection activeCell="E161" sqref="E161"/>
    </sheetView>
  </sheetViews>
  <sheetFormatPr defaultRowHeight="15.75" x14ac:dyDescent="0.25"/>
  <cols>
    <col min="1" max="1" width="9.5" style="157" customWidth="1"/>
    <col min="2" max="2" width="65.83203125" style="157" customWidth="1"/>
    <col min="3" max="3" width="17.83203125" style="158" customWidth="1"/>
    <col min="4" max="5" width="17.83203125" style="179" customWidth="1"/>
    <col min="6" max="6" width="9.33203125" style="179"/>
    <col min="7" max="7" width="13.33203125" style="179" bestFit="1" customWidth="1"/>
    <col min="8" max="16384" width="9.33203125" style="179"/>
  </cols>
  <sheetData>
    <row r="1" spans="1:5" x14ac:dyDescent="0.25">
      <c r="A1" s="320"/>
      <c r="B1" s="814" t="str">
        <f>CONCATENATE("1.1. melléklet ",Z_ALAPADATOK!A7," ",Z_ALAPADATOK!B7," ",Z_ALAPADATOK!C7," ",Z_ALAPADATOK!D7," ",Z_ALAPADATOK!E7," ",Z_ALAPADATOK!F7," ",Z_ALAPADATOK!G7," ",Z_ALAPADATOK!H7)</f>
        <v>1.1. melléklet a … / 2022. ( … ) önkormányzati rendelethez</v>
      </c>
      <c r="C1" s="815"/>
      <c r="D1" s="815"/>
      <c r="E1" s="815"/>
    </row>
    <row r="2" spans="1:5" x14ac:dyDescent="0.25">
      <c r="A2" s="816" t="str">
        <f>CONCATENATE(Z_ALAPADATOK!A3)</f>
        <v>Sajószöged Községi Önkormányzat</v>
      </c>
      <c r="B2" s="817"/>
      <c r="C2" s="817"/>
      <c r="D2" s="817"/>
      <c r="E2" s="817"/>
    </row>
    <row r="3" spans="1:5" x14ac:dyDescent="0.25">
      <c r="A3" s="816" t="str">
        <f>CONCATENATE(Z_ALAPADATOK!B1,". évi ZÁRSZÁMADÁSÁNAK PÉNZÜGYI MÉRLEGE")</f>
        <v>2021. évi ZÁRSZÁMADÁSÁNAK PÉNZÜGYI MÉRLEGE</v>
      </c>
      <c r="B3" s="816"/>
      <c r="C3" s="818"/>
      <c r="D3" s="816"/>
      <c r="E3" s="816"/>
    </row>
    <row r="4" spans="1:5" ht="12" customHeight="1" x14ac:dyDescent="0.25">
      <c r="A4" s="816"/>
      <c r="B4" s="816"/>
      <c r="C4" s="818"/>
      <c r="D4" s="816"/>
      <c r="E4" s="816"/>
    </row>
    <row r="5" spans="1:5" x14ac:dyDescent="0.25">
      <c r="A5" s="320"/>
      <c r="B5" s="320"/>
      <c r="C5" s="321"/>
      <c r="D5" s="322"/>
      <c r="E5" s="322"/>
    </row>
    <row r="6" spans="1:5" ht="15.95" customHeight="1" x14ac:dyDescent="0.25">
      <c r="A6" s="828" t="s">
        <v>3</v>
      </c>
      <c r="B6" s="828"/>
      <c r="C6" s="828"/>
      <c r="D6" s="828"/>
      <c r="E6" s="828"/>
    </row>
    <row r="7" spans="1:5" ht="15.95" customHeight="1" thickBot="1" x14ac:dyDescent="0.3">
      <c r="A7" s="830" t="s">
        <v>99</v>
      </c>
      <c r="B7" s="830"/>
      <c r="C7" s="323"/>
      <c r="D7" s="322"/>
      <c r="E7" s="323" t="s">
        <v>486</v>
      </c>
    </row>
    <row r="8" spans="1:5" x14ac:dyDescent="0.25">
      <c r="A8" s="820" t="s">
        <v>51</v>
      </c>
      <c r="B8" s="822" t="s">
        <v>5</v>
      </c>
      <c r="C8" s="824" t="str">
        <f>+CONCATENATE(LEFT(Z_ÖSSZEFÜGGÉSEK!A6,4),". évi")</f>
        <v>2021. évi</v>
      </c>
      <c r="D8" s="825"/>
      <c r="E8" s="826"/>
    </row>
    <row r="9" spans="1:5" ht="24.75" thickBot="1" x14ac:dyDescent="0.3">
      <c r="A9" s="821"/>
      <c r="B9" s="823"/>
      <c r="C9" s="253" t="s">
        <v>418</v>
      </c>
      <c r="D9" s="252" t="s">
        <v>419</v>
      </c>
      <c r="E9" s="313" t="str">
        <f>+CONCATENATE(LEFT(Z_ÖSSZEFÜGGÉSEK!A6,4),". XII. 31.",CHAR(10),"teljesítés")</f>
        <v>2021. XII. 31.
teljesítés</v>
      </c>
    </row>
    <row r="10" spans="1:5" s="180" customFormat="1" ht="12" customHeight="1" thickBot="1" x14ac:dyDescent="0.25">
      <c r="A10" s="176" t="s">
        <v>385</v>
      </c>
      <c r="B10" s="177" t="s">
        <v>386</v>
      </c>
      <c r="C10" s="177" t="s">
        <v>387</v>
      </c>
      <c r="D10" s="177" t="s">
        <v>389</v>
      </c>
      <c r="E10" s="254" t="s">
        <v>388</v>
      </c>
    </row>
    <row r="11" spans="1:5" s="181" customFormat="1" ht="12" customHeight="1" thickBot="1" x14ac:dyDescent="0.25">
      <c r="A11" s="18" t="s">
        <v>6</v>
      </c>
      <c r="B11" s="19" t="s">
        <v>161</v>
      </c>
      <c r="C11" s="169">
        <f>+C12+C13+C14+C15+C16+C17</f>
        <v>168879689</v>
      </c>
      <c r="D11" s="169">
        <f>+D12+D13+D14+D15+D16+D17</f>
        <v>192219846</v>
      </c>
      <c r="E11" s="105">
        <f>+E12+E13+E14+E15+E16+E17</f>
        <v>192219846</v>
      </c>
    </row>
    <row r="12" spans="1:5" s="181" customFormat="1" ht="12" customHeight="1" x14ac:dyDescent="0.2">
      <c r="A12" s="13" t="s">
        <v>63</v>
      </c>
      <c r="B12" s="182" t="s">
        <v>162</v>
      </c>
      <c r="C12" s="171">
        <v>57626844</v>
      </c>
      <c r="D12" s="171">
        <v>57872570</v>
      </c>
      <c r="E12" s="107">
        <v>57872570</v>
      </c>
    </row>
    <row r="13" spans="1:5" s="181" customFormat="1" ht="12" customHeight="1" x14ac:dyDescent="0.2">
      <c r="A13" s="12" t="s">
        <v>64</v>
      </c>
      <c r="B13" s="183" t="s">
        <v>163</v>
      </c>
      <c r="C13" s="170">
        <v>51930050</v>
      </c>
      <c r="D13" s="170">
        <v>54207000</v>
      </c>
      <c r="E13" s="106">
        <v>54207000</v>
      </c>
    </row>
    <row r="14" spans="1:5" s="181" customFormat="1" ht="12" customHeight="1" x14ac:dyDescent="0.2">
      <c r="A14" s="12" t="s">
        <v>65</v>
      </c>
      <c r="B14" s="183" t="s">
        <v>164</v>
      </c>
      <c r="C14" s="170">
        <v>54251505</v>
      </c>
      <c r="D14" s="170">
        <v>57091483</v>
      </c>
      <c r="E14" s="106">
        <v>57091483</v>
      </c>
    </row>
    <row r="15" spans="1:5" s="181" customFormat="1" ht="12" customHeight="1" x14ac:dyDescent="0.2">
      <c r="A15" s="12" t="s">
        <v>66</v>
      </c>
      <c r="B15" s="183" t="s">
        <v>165</v>
      </c>
      <c r="C15" s="170">
        <v>5071290</v>
      </c>
      <c r="D15" s="170">
        <v>5155422</v>
      </c>
      <c r="E15" s="106">
        <v>5155422</v>
      </c>
    </row>
    <row r="16" spans="1:5" s="181" customFormat="1" ht="12" customHeight="1" x14ac:dyDescent="0.2">
      <c r="A16" s="12" t="s">
        <v>96</v>
      </c>
      <c r="B16" s="113" t="s">
        <v>333</v>
      </c>
      <c r="C16" s="170"/>
      <c r="D16" s="170">
        <v>17711650</v>
      </c>
      <c r="E16" s="106">
        <v>17711650</v>
      </c>
    </row>
    <row r="17" spans="1:5" s="181" customFormat="1" ht="12" customHeight="1" thickBot="1" x14ac:dyDescent="0.25">
      <c r="A17" s="14" t="s">
        <v>67</v>
      </c>
      <c r="B17" s="114" t="s">
        <v>334</v>
      </c>
      <c r="C17" s="170"/>
      <c r="D17" s="170">
        <v>181721</v>
      </c>
      <c r="E17" s="106">
        <v>181721</v>
      </c>
    </row>
    <row r="18" spans="1:5" s="181" customFormat="1" ht="12" customHeight="1" thickBot="1" x14ac:dyDescent="0.25">
      <c r="A18" s="18" t="s">
        <v>7</v>
      </c>
      <c r="B18" s="112" t="s">
        <v>166</v>
      </c>
      <c r="C18" s="169">
        <f>+C19+C20+C21+C22+C23</f>
        <v>8356200</v>
      </c>
      <c r="D18" s="169">
        <f>+D19+D20+D21+D22+D23</f>
        <v>11374380</v>
      </c>
      <c r="E18" s="105">
        <f>+E19+E20+E21+E22+E23</f>
        <v>12365299</v>
      </c>
    </row>
    <row r="19" spans="1:5" s="181" customFormat="1" ht="12" customHeight="1" x14ac:dyDescent="0.2">
      <c r="A19" s="13" t="s">
        <v>69</v>
      </c>
      <c r="B19" s="182" t="s">
        <v>167</v>
      </c>
      <c r="C19" s="171"/>
      <c r="D19" s="171"/>
      <c r="E19" s="107"/>
    </row>
    <row r="20" spans="1:5" s="181" customFormat="1" ht="12" customHeight="1" x14ac:dyDescent="0.2">
      <c r="A20" s="12" t="s">
        <v>70</v>
      </c>
      <c r="B20" s="183" t="s">
        <v>168</v>
      </c>
      <c r="C20" s="170"/>
      <c r="D20" s="170"/>
      <c r="E20" s="106"/>
    </row>
    <row r="21" spans="1:5" s="181" customFormat="1" ht="12" customHeight="1" x14ac:dyDescent="0.2">
      <c r="A21" s="12" t="s">
        <v>71</v>
      </c>
      <c r="B21" s="183" t="s">
        <v>325</v>
      </c>
      <c r="C21" s="170"/>
      <c r="D21" s="170"/>
      <c r="E21" s="106"/>
    </row>
    <row r="22" spans="1:5" s="181" customFormat="1" ht="12" customHeight="1" x14ac:dyDescent="0.2">
      <c r="A22" s="12" t="s">
        <v>72</v>
      </c>
      <c r="B22" s="183" t="s">
        <v>326</v>
      </c>
      <c r="C22" s="170"/>
      <c r="D22" s="170"/>
      <c r="E22" s="106"/>
    </row>
    <row r="23" spans="1:5" s="181" customFormat="1" ht="12" customHeight="1" x14ac:dyDescent="0.2">
      <c r="A23" s="12" t="s">
        <v>73</v>
      </c>
      <c r="B23" s="183" t="s">
        <v>169</v>
      </c>
      <c r="C23" s="170">
        <v>8356200</v>
      </c>
      <c r="D23" s="170">
        <v>11374380</v>
      </c>
      <c r="E23" s="106">
        <v>12365299</v>
      </c>
    </row>
    <row r="24" spans="1:5" s="181" customFormat="1" ht="12" customHeight="1" thickBot="1" x14ac:dyDescent="0.25">
      <c r="A24" s="14" t="s">
        <v>80</v>
      </c>
      <c r="B24" s="114" t="s">
        <v>170</v>
      </c>
      <c r="C24" s="172"/>
      <c r="D24" s="172"/>
      <c r="E24" s="108"/>
    </row>
    <row r="25" spans="1:5" s="181" customFormat="1" ht="12" customHeight="1" thickBot="1" x14ac:dyDescent="0.25">
      <c r="A25" s="18" t="s">
        <v>8</v>
      </c>
      <c r="B25" s="19" t="s">
        <v>171</v>
      </c>
      <c r="C25" s="169">
        <f>+C26+C27+C28+C29+C30</f>
        <v>30000000</v>
      </c>
      <c r="D25" s="169">
        <f>+D26+D27+D28+D29+D30</f>
        <v>119719194</v>
      </c>
      <c r="E25" s="105">
        <f>+E26+E27+E28+E29+E30</f>
        <v>89719194</v>
      </c>
    </row>
    <row r="26" spans="1:5" s="181" customFormat="1" ht="12" customHeight="1" x14ac:dyDescent="0.2">
      <c r="A26" s="13" t="s">
        <v>52</v>
      </c>
      <c r="B26" s="182" t="s">
        <v>172</v>
      </c>
      <c r="C26" s="171"/>
      <c r="D26" s="171"/>
      <c r="E26" s="107"/>
    </row>
    <row r="27" spans="1:5" s="181" customFormat="1" ht="12" customHeight="1" x14ac:dyDescent="0.2">
      <c r="A27" s="12" t="s">
        <v>53</v>
      </c>
      <c r="B27" s="183" t="s">
        <v>173</v>
      </c>
      <c r="C27" s="170"/>
      <c r="D27" s="170"/>
      <c r="E27" s="106"/>
    </row>
    <row r="28" spans="1:5" s="181" customFormat="1" ht="12" customHeight="1" x14ac:dyDescent="0.2">
      <c r="A28" s="12" t="s">
        <v>54</v>
      </c>
      <c r="B28" s="183" t="s">
        <v>327</v>
      </c>
      <c r="C28" s="170"/>
      <c r="D28" s="170"/>
      <c r="E28" s="106"/>
    </row>
    <row r="29" spans="1:5" s="181" customFormat="1" ht="12" customHeight="1" x14ac:dyDescent="0.2">
      <c r="A29" s="12" t="s">
        <v>55</v>
      </c>
      <c r="B29" s="183" t="s">
        <v>328</v>
      </c>
      <c r="C29" s="170"/>
      <c r="D29" s="170"/>
      <c r="E29" s="106"/>
    </row>
    <row r="30" spans="1:5" s="181" customFormat="1" ht="12" customHeight="1" x14ac:dyDescent="0.2">
      <c r="A30" s="12" t="s">
        <v>109</v>
      </c>
      <c r="B30" s="183" t="s">
        <v>174</v>
      </c>
      <c r="C30" s="170">
        <v>30000000</v>
      </c>
      <c r="D30" s="170">
        <v>119719194</v>
      </c>
      <c r="E30" s="106">
        <v>89719194</v>
      </c>
    </row>
    <row r="31" spans="1:5" s="181" customFormat="1" ht="12" customHeight="1" thickBot="1" x14ac:dyDescent="0.25">
      <c r="A31" s="14" t="s">
        <v>110</v>
      </c>
      <c r="B31" s="184" t="s">
        <v>175</v>
      </c>
      <c r="C31" s="172">
        <v>30000000</v>
      </c>
      <c r="D31" s="172">
        <v>119719194</v>
      </c>
      <c r="E31" s="108">
        <v>89719194</v>
      </c>
    </row>
    <row r="32" spans="1:5" s="181" customFormat="1" ht="12" customHeight="1" thickBot="1" x14ac:dyDescent="0.25">
      <c r="A32" s="18" t="s">
        <v>111</v>
      </c>
      <c r="B32" s="19" t="s">
        <v>475</v>
      </c>
      <c r="C32" s="175">
        <f>SUM(C33:C39)</f>
        <v>212960000</v>
      </c>
      <c r="D32" s="175">
        <f>SUM(D33:D39)</f>
        <v>213060000</v>
      </c>
      <c r="E32" s="211">
        <f>SUM(E33:E39)</f>
        <v>223901819</v>
      </c>
    </row>
    <row r="33" spans="1:5" s="181" customFormat="1" ht="12" customHeight="1" x14ac:dyDescent="0.2">
      <c r="A33" s="13" t="s">
        <v>176</v>
      </c>
      <c r="B33" s="697" t="s">
        <v>476</v>
      </c>
      <c r="C33" s="170">
        <v>3100000</v>
      </c>
      <c r="D33" s="171">
        <v>3100000</v>
      </c>
      <c r="E33" s="107">
        <v>3008321</v>
      </c>
    </row>
    <row r="34" spans="1:5" s="181" customFormat="1" ht="12" customHeight="1" x14ac:dyDescent="0.2">
      <c r="A34" s="12" t="s">
        <v>177</v>
      </c>
      <c r="B34" s="698" t="s">
        <v>863</v>
      </c>
      <c r="C34" s="170">
        <v>0</v>
      </c>
      <c r="D34" s="170">
        <v>0</v>
      </c>
      <c r="E34" s="106"/>
    </row>
    <row r="35" spans="1:5" s="181" customFormat="1" ht="12" customHeight="1" x14ac:dyDescent="0.2">
      <c r="A35" s="12" t="s">
        <v>178</v>
      </c>
      <c r="B35" s="698" t="s">
        <v>477</v>
      </c>
      <c r="C35" s="170">
        <v>110000000</v>
      </c>
      <c r="D35" s="170">
        <v>110000000</v>
      </c>
      <c r="E35" s="106">
        <v>119557187</v>
      </c>
    </row>
    <row r="36" spans="1:5" s="181" customFormat="1" ht="12" customHeight="1" x14ac:dyDescent="0.2">
      <c r="A36" s="12" t="s">
        <v>179</v>
      </c>
      <c r="B36" s="698" t="s">
        <v>478</v>
      </c>
      <c r="C36" s="170">
        <v>350000</v>
      </c>
      <c r="D36" s="170">
        <v>350000</v>
      </c>
      <c r="E36" s="106">
        <v>1067520</v>
      </c>
    </row>
    <row r="37" spans="1:5" s="181" customFormat="1" ht="12" customHeight="1" x14ac:dyDescent="0.2">
      <c r="A37" s="12" t="s">
        <v>479</v>
      </c>
      <c r="B37" s="698" t="s">
        <v>180</v>
      </c>
      <c r="C37" s="170">
        <v>0</v>
      </c>
      <c r="D37" s="170">
        <v>0</v>
      </c>
      <c r="E37" s="106"/>
    </row>
    <row r="38" spans="1:5" s="181" customFormat="1" ht="12" customHeight="1" x14ac:dyDescent="0.2">
      <c r="A38" s="12" t="s">
        <v>480</v>
      </c>
      <c r="B38" s="698" t="s">
        <v>851</v>
      </c>
      <c r="C38" s="170">
        <v>99000000</v>
      </c>
      <c r="D38" s="170">
        <v>99000000</v>
      </c>
      <c r="E38" s="106">
        <v>99759980</v>
      </c>
    </row>
    <row r="39" spans="1:5" s="181" customFormat="1" ht="12" customHeight="1" thickBot="1" x14ac:dyDescent="0.25">
      <c r="A39" s="14" t="s">
        <v>481</v>
      </c>
      <c r="B39" s="182" t="s">
        <v>897</v>
      </c>
      <c r="C39" s="170">
        <v>510000</v>
      </c>
      <c r="D39" s="172">
        <v>610000</v>
      </c>
      <c r="E39" s="108">
        <f>1576331-E36</f>
        <v>508811</v>
      </c>
    </row>
    <row r="40" spans="1:5" s="181" customFormat="1" ht="12" customHeight="1" thickBot="1" x14ac:dyDescent="0.25">
      <c r="A40" s="18" t="s">
        <v>10</v>
      </c>
      <c r="B40" s="19" t="s">
        <v>335</v>
      </c>
      <c r="C40" s="169">
        <f>SUM(C41:C51)</f>
        <v>56427933</v>
      </c>
      <c r="D40" s="169">
        <f>SUM(D41:D51)</f>
        <v>93760420</v>
      </c>
      <c r="E40" s="105">
        <f>SUM(E41:E51)</f>
        <v>84402367</v>
      </c>
    </row>
    <row r="41" spans="1:5" s="181" customFormat="1" ht="12" customHeight="1" x14ac:dyDescent="0.2">
      <c r="A41" s="13" t="s">
        <v>56</v>
      </c>
      <c r="B41" s="182" t="s">
        <v>183</v>
      </c>
      <c r="C41" s="171"/>
      <c r="D41" s="171"/>
      <c r="E41" s="107"/>
    </row>
    <row r="42" spans="1:5" s="181" customFormat="1" ht="12" customHeight="1" x14ac:dyDescent="0.2">
      <c r="A42" s="12" t="s">
        <v>57</v>
      </c>
      <c r="B42" s="183" t="s">
        <v>184</v>
      </c>
      <c r="C42" s="173">
        <v>15895271</v>
      </c>
      <c r="D42" s="170">
        <v>14157234</v>
      </c>
      <c r="E42" s="106">
        <v>13260118</v>
      </c>
    </row>
    <row r="43" spans="1:5" s="181" customFormat="1" ht="12" customHeight="1" x14ac:dyDescent="0.2">
      <c r="A43" s="12" t="s">
        <v>58</v>
      </c>
      <c r="B43" s="183" t="s">
        <v>185</v>
      </c>
      <c r="C43" s="173">
        <v>1500000</v>
      </c>
      <c r="D43" s="170">
        <v>2854860</v>
      </c>
      <c r="E43" s="106">
        <v>2801657</v>
      </c>
    </row>
    <row r="44" spans="1:5" s="181" customFormat="1" ht="12" customHeight="1" x14ac:dyDescent="0.2">
      <c r="A44" s="12" t="s">
        <v>113</v>
      </c>
      <c r="B44" s="183" t="s">
        <v>186</v>
      </c>
      <c r="C44" s="173">
        <v>14000000</v>
      </c>
      <c r="D44" s="170">
        <v>36874754</v>
      </c>
      <c r="E44" s="106">
        <v>33074197</v>
      </c>
    </row>
    <row r="45" spans="1:5" s="181" customFormat="1" ht="12" customHeight="1" x14ac:dyDescent="0.2">
      <c r="A45" s="12" t="s">
        <v>114</v>
      </c>
      <c r="B45" s="183" t="s">
        <v>187</v>
      </c>
      <c r="C45" s="173">
        <v>13323666</v>
      </c>
      <c r="D45" s="170">
        <v>18332185</v>
      </c>
      <c r="E45" s="106">
        <v>15440348</v>
      </c>
    </row>
    <row r="46" spans="1:5" s="181" customFormat="1" ht="12" customHeight="1" x14ac:dyDescent="0.2">
      <c r="A46" s="12" t="s">
        <v>115</v>
      </c>
      <c r="B46" s="183" t="s">
        <v>188</v>
      </c>
      <c r="C46" s="173">
        <v>11708996</v>
      </c>
      <c r="D46" s="170">
        <v>18549614</v>
      </c>
      <c r="E46" s="106">
        <v>16982009</v>
      </c>
    </row>
    <row r="47" spans="1:5" s="181" customFormat="1" ht="12" customHeight="1" x14ac:dyDescent="0.2">
      <c r="A47" s="12" t="s">
        <v>116</v>
      </c>
      <c r="B47" s="183" t="s">
        <v>189</v>
      </c>
      <c r="C47" s="173"/>
      <c r="D47" s="170">
        <v>2401000</v>
      </c>
      <c r="E47" s="106">
        <v>2401000</v>
      </c>
    </row>
    <row r="48" spans="1:5" s="181" customFormat="1" ht="12" customHeight="1" x14ac:dyDescent="0.2">
      <c r="A48" s="12" t="s">
        <v>117</v>
      </c>
      <c r="B48" s="183" t="s">
        <v>482</v>
      </c>
      <c r="C48" s="170"/>
      <c r="D48" s="170"/>
      <c r="E48" s="106"/>
    </row>
    <row r="49" spans="1:5" s="181" customFormat="1" ht="12" customHeight="1" x14ac:dyDescent="0.2">
      <c r="A49" s="12" t="s">
        <v>181</v>
      </c>
      <c r="B49" s="183" t="s">
        <v>191</v>
      </c>
      <c r="C49" s="173"/>
      <c r="D49" s="173">
        <v>42</v>
      </c>
      <c r="E49" s="109">
        <v>62</v>
      </c>
    </row>
    <row r="50" spans="1:5" s="181" customFormat="1" ht="12" customHeight="1" x14ac:dyDescent="0.2">
      <c r="A50" s="14" t="s">
        <v>182</v>
      </c>
      <c r="B50" s="184" t="s">
        <v>337</v>
      </c>
      <c r="C50" s="174"/>
      <c r="D50" s="174">
        <v>350000</v>
      </c>
      <c r="E50" s="110">
        <v>350000</v>
      </c>
    </row>
    <row r="51" spans="1:5" s="181" customFormat="1" ht="12" customHeight="1" thickBot="1" x14ac:dyDescent="0.25">
      <c r="A51" s="14" t="s">
        <v>336</v>
      </c>
      <c r="B51" s="114" t="s">
        <v>192</v>
      </c>
      <c r="C51" s="174"/>
      <c r="D51" s="174">
        <v>240731</v>
      </c>
      <c r="E51" s="110">
        <v>92976</v>
      </c>
    </row>
    <row r="52" spans="1:5" s="181" customFormat="1" ht="12" customHeight="1" thickBot="1" x14ac:dyDescent="0.25">
      <c r="A52" s="18" t="s">
        <v>11</v>
      </c>
      <c r="B52" s="19" t="s">
        <v>193</v>
      </c>
      <c r="C52" s="169">
        <f>SUM(C53:C57)</f>
        <v>1267716</v>
      </c>
      <c r="D52" s="169">
        <f>SUM(D53:D57)</f>
        <v>26385826</v>
      </c>
      <c r="E52" s="105">
        <f>SUM(E53:E57)</f>
        <v>11385826</v>
      </c>
    </row>
    <row r="53" spans="1:5" s="181" customFormat="1" ht="12" customHeight="1" x14ac:dyDescent="0.2">
      <c r="A53" s="13" t="s">
        <v>59</v>
      </c>
      <c r="B53" s="182" t="s">
        <v>197</v>
      </c>
      <c r="C53" s="222"/>
      <c r="D53" s="222"/>
      <c r="E53" s="111"/>
    </row>
    <row r="54" spans="1:5" s="181" customFormat="1" ht="12" customHeight="1" x14ac:dyDescent="0.2">
      <c r="A54" s="12" t="s">
        <v>60</v>
      </c>
      <c r="B54" s="183" t="s">
        <v>198</v>
      </c>
      <c r="C54" s="173">
        <v>1267716</v>
      </c>
      <c r="D54" s="173">
        <v>6385826</v>
      </c>
      <c r="E54" s="109">
        <v>6385826</v>
      </c>
    </row>
    <row r="55" spans="1:5" s="181" customFormat="1" ht="12" customHeight="1" x14ac:dyDescent="0.2">
      <c r="A55" s="12" t="s">
        <v>194</v>
      </c>
      <c r="B55" s="183" t="s">
        <v>199</v>
      </c>
      <c r="C55" s="173"/>
      <c r="D55" s="173"/>
      <c r="E55" s="109"/>
    </row>
    <row r="56" spans="1:5" s="181" customFormat="1" ht="12" customHeight="1" x14ac:dyDescent="0.2">
      <c r="A56" s="12" t="s">
        <v>195</v>
      </c>
      <c r="B56" s="183" t="s">
        <v>200</v>
      </c>
      <c r="C56" s="173"/>
      <c r="D56" s="173">
        <v>20000000</v>
      </c>
      <c r="E56" s="109">
        <v>5000000</v>
      </c>
    </row>
    <row r="57" spans="1:5" s="181" customFormat="1" ht="12" customHeight="1" thickBot="1" x14ac:dyDescent="0.25">
      <c r="A57" s="14" t="s">
        <v>196</v>
      </c>
      <c r="B57" s="114" t="s">
        <v>201</v>
      </c>
      <c r="C57" s="174"/>
      <c r="D57" s="174"/>
      <c r="E57" s="110"/>
    </row>
    <row r="58" spans="1:5" s="181" customFormat="1" ht="12" customHeight="1" thickBot="1" x14ac:dyDescent="0.25">
      <c r="A58" s="18" t="s">
        <v>118</v>
      </c>
      <c r="B58" s="19" t="s">
        <v>202</v>
      </c>
      <c r="C58" s="169">
        <f>SUM(C59:C61)</f>
        <v>0</v>
      </c>
      <c r="D58" s="169">
        <f>SUM(D59:D61)</f>
        <v>0</v>
      </c>
      <c r="E58" s="105">
        <f>SUM(E59:E61)</f>
        <v>370000</v>
      </c>
    </row>
    <row r="59" spans="1:5" s="181" customFormat="1" ht="12" customHeight="1" x14ac:dyDescent="0.2">
      <c r="A59" s="13" t="s">
        <v>61</v>
      </c>
      <c r="B59" s="182" t="s">
        <v>203</v>
      </c>
      <c r="C59" s="171"/>
      <c r="D59" s="171"/>
      <c r="E59" s="107"/>
    </row>
    <row r="60" spans="1:5" s="181" customFormat="1" ht="12" customHeight="1" x14ac:dyDescent="0.2">
      <c r="A60" s="12" t="s">
        <v>62</v>
      </c>
      <c r="B60" s="183" t="s">
        <v>329</v>
      </c>
      <c r="C60" s="170"/>
      <c r="D60" s="170"/>
      <c r="E60" s="106"/>
    </row>
    <row r="61" spans="1:5" s="181" customFormat="1" ht="12" customHeight="1" x14ac:dyDescent="0.2">
      <c r="A61" s="12" t="s">
        <v>206</v>
      </c>
      <c r="B61" s="183" t="s">
        <v>204</v>
      </c>
      <c r="C61" s="170"/>
      <c r="D61" s="170"/>
      <c r="E61" s="106">
        <v>370000</v>
      </c>
    </row>
    <row r="62" spans="1:5" s="181" customFormat="1" ht="12" customHeight="1" thickBot="1" x14ac:dyDescent="0.25">
      <c r="A62" s="14" t="s">
        <v>207</v>
      </c>
      <c r="B62" s="114" t="s">
        <v>205</v>
      </c>
      <c r="C62" s="172"/>
      <c r="D62" s="172"/>
      <c r="E62" s="108"/>
    </row>
    <row r="63" spans="1:5" s="181" customFormat="1" ht="12" customHeight="1" thickBot="1" x14ac:dyDescent="0.25">
      <c r="A63" s="18" t="s">
        <v>13</v>
      </c>
      <c r="B63" s="112" t="s">
        <v>208</v>
      </c>
      <c r="C63" s="169">
        <f>SUM(C64:C66)</f>
        <v>1649641</v>
      </c>
      <c r="D63" s="169">
        <f>SUM(D64:D66)</f>
        <v>1923842</v>
      </c>
      <c r="E63" s="105">
        <f>SUM(E64:E66)</f>
        <v>2042980</v>
      </c>
    </row>
    <row r="64" spans="1:5" s="181" customFormat="1" ht="12" customHeight="1" x14ac:dyDescent="0.2">
      <c r="A64" s="13" t="s">
        <v>119</v>
      </c>
      <c r="B64" s="182" t="s">
        <v>210</v>
      </c>
      <c r="C64" s="173"/>
      <c r="D64" s="173"/>
      <c r="E64" s="109"/>
    </row>
    <row r="65" spans="1:5" s="181" customFormat="1" ht="12" customHeight="1" x14ac:dyDescent="0.2">
      <c r="A65" s="12" t="s">
        <v>120</v>
      </c>
      <c r="B65" s="183" t="s">
        <v>330</v>
      </c>
      <c r="C65" s="173">
        <v>1649641</v>
      </c>
      <c r="D65" s="173">
        <v>1923842</v>
      </c>
      <c r="E65" s="109">
        <v>2042980</v>
      </c>
    </row>
    <row r="66" spans="1:5" s="181" customFormat="1" ht="12" customHeight="1" x14ac:dyDescent="0.2">
      <c r="A66" s="12" t="s">
        <v>143</v>
      </c>
      <c r="B66" s="183" t="s">
        <v>211</v>
      </c>
      <c r="C66" s="173"/>
      <c r="D66" s="173"/>
      <c r="E66" s="109"/>
    </row>
    <row r="67" spans="1:5" s="181" customFormat="1" ht="12" customHeight="1" thickBot="1" x14ac:dyDescent="0.25">
      <c r="A67" s="14" t="s">
        <v>209</v>
      </c>
      <c r="B67" s="114" t="s">
        <v>212</v>
      </c>
      <c r="C67" s="173"/>
      <c r="D67" s="173"/>
      <c r="E67" s="109"/>
    </row>
    <row r="68" spans="1:5" s="181" customFormat="1" ht="12" customHeight="1" thickBot="1" x14ac:dyDescent="0.25">
      <c r="A68" s="236" t="s">
        <v>377</v>
      </c>
      <c r="B68" s="19" t="s">
        <v>213</v>
      </c>
      <c r="C68" s="175">
        <f>+C11+C18+C25+C32+C40+C52+C58+C63</f>
        <v>479541179</v>
      </c>
      <c r="D68" s="175">
        <f>+D11+D18+D25+D32+D40+D52+D58+D63</f>
        <v>658443508</v>
      </c>
      <c r="E68" s="211">
        <f>+E11+E18+E25+E32+E40+E52+E58+E63</f>
        <v>616407331</v>
      </c>
    </row>
    <row r="69" spans="1:5" s="181" customFormat="1" ht="12" customHeight="1" thickBot="1" x14ac:dyDescent="0.25">
      <c r="A69" s="223" t="s">
        <v>214</v>
      </c>
      <c r="B69" s="112" t="s">
        <v>215</v>
      </c>
      <c r="C69" s="169">
        <f>SUM(C70:C72)</f>
        <v>0</v>
      </c>
      <c r="D69" s="169">
        <f>SUM(D70:D72)</f>
        <v>0</v>
      </c>
      <c r="E69" s="105">
        <f>SUM(E70:E72)</f>
        <v>0</v>
      </c>
    </row>
    <row r="70" spans="1:5" s="181" customFormat="1" ht="12" customHeight="1" x14ac:dyDescent="0.2">
      <c r="A70" s="13" t="s">
        <v>243</v>
      </c>
      <c r="B70" s="182" t="s">
        <v>216</v>
      </c>
      <c r="C70" s="173"/>
      <c r="D70" s="173"/>
      <c r="E70" s="109"/>
    </row>
    <row r="71" spans="1:5" s="181" customFormat="1" ht="12" customHeight="1" x14ac:dyDescent="0.2">
      <c r="A71" s="12" t="s">
        <v>252</v>
      </c>
      <c r="B71" s="183" t="s">
        <v>217</v>
      </c>
      <c r="C71" s="173"/>
      <c r="D71" s="173"/>
      <c r="E71" s="109"/>
    </row>
    <row r="72" spans="1:5" s="181" customFormat="1" ht="12" customHeight="1" thickBot="1" x14ac:dyDescent="0.25">
      <c r="A72" s="14" t="s">
        <v>253</v>
      </c>
      <c r="B72" s="232" t="s">
        <v>362</v>
      </c>
      <c r="C72" s="173"/>
      <c r="D72" s="173"/>
      <c r="E72" s="109"/>
    </row>
    <row r="73" spans="1:5" s="181" customFormat="1" ht="12" customHeight="1" thickBot="1" x14ac:dyDescent="0.25">
      <c r="A73" s="223" t="s">
        <v>219</v>
      </c>
      <c r="B73" s="112" t="s">
        <v>220</v>
      </c>
      <c r="C73" s="169">
        <f>SUM(C74:C77)</f>
        <v>20000000</v>
      </c>
      <c r="D73" s="169">
        <f>SUM(D74:D77)</f>
        <v>0</v>
      </c>
      <c r="E73" s="105">
        <f>SUM(E74:E77)</f>
        <v>0</v>
      </c>
    </row>
    <row r="74" spans="1:5" s="181" customFormat="1" ht="12" customHeight="1" x14ac:dyDescent="0.2">
      <c r="A74" s="13" t="s">
        <v>97</v>
      </c>
      <c r="B74" s="311" t="s">
        <v>221</v>
      </c>
      <c r="C74" s="173">
        <v>20000000</v>
      </c>
      <c r="D74" s="173"/>
      <c r="E74" s="109"/>
    </row>
    <row r="75" spans="1:5" s="181" customFormat="1" ht="12" customHeight="1" x14ac:dyDescent="0.2">
      <c r="A75" s="12" t="s">
        <v>98</v>
      </c>
      <c r="B75" s="311" t="s">
        <v>489</v>
      </c>
      <c r="C75" s="173"/>
      <c r="D75" s="173"/>
      <c r="E75" s="109"/>
    </row>
    <row r="76" spans="1:5" s="181" customFormat="1" ht="12" customHeight="1" x14ac:dyDescent="0.2">
      <c r="A76" s="12" t="s">
        <v>244</v>
      </c>
      <c r="B76" s="311" t="s">
        <v>222</v>
      </c>
      <c r="C76" s="173"/>
      <c r="D76" s="173"/>
      <c r="E76" s="109"/>
    </row>
    <row r="77" spans="1:5" s="181" customFormat="1" ht="12" customHeight="1" thickBot="1" x14ac:dyDescent="0.25">
      <c r="A77" s="14" t="s">
        <v>245</v>
      </c>
      <c r="B77" s="312" t="s">
        <v>490</v>
      </c>
      <c r="C77" s="173"/>
      <c r="D77" s="173"/>
      <c r="E77" s="109"/>
    </row>
    <row r="78" spans="1:5" s="181" customFormat="1" ht="12" customHeight="1" thickBot="1" x14ac:dyDescent="0.25">
      <c r="A78" s="223" t="s">
        <v>223</v>
      </c>
      <c r="B78" s="112" t="s">
        <v>224</v>
      </c>
      <c r="C78" s="169">
        <f>SUM(C79:C80)</f>
        <v>162743567</v>
      </c>
      <c r="D78" s="169">
        <f>SUM(D79:D80)</f>
        <v>165080644</v>
      </c>
      <c r="E78" s="105">
        <f>SUM(E79:E80)</f>
        <v>165080644</v>
      </c>
    </row>
    <row r="79" spans="1:5" s="181" customFormat="1" ht="12" customHeight="1" x14ac:dyDescent="0.2">
      <c r="A79" s="13" t="s">
        <v>246</v>
      </c>
      <c r="B79" s="182" t="s">
        <v>225</v>
      </c>
      <c r="C79" s="173">
        <v>162743567</v>
      </c>
      <c r="D79" s="173">
        <v>165080644</v>
      </c>
      <c r="E79" s="109">
        <v>165080644</v>
      </c>
    </row>
    <row r="80" spans="1:5" s="181" customFormat="1" ht="12" customHeight="1" thickBot="1" x14ac:dyDescent="0.25">
      <c r="A80" s="14" t="s">
        <v>247</v>
      </c>
      <c r="B80" s="114" t="s">
        <v>226</v>
      </c>
      <c r="C80" s="173"/>
      <c r="D80" s="173"/>
      <c r="E80" s="109"/>
    </row>
    <row r="81" spans="1:5" s="181" customFormat="1" ht="12" customHeight="1" thickBot="1" x14ac:dyDescent="0.25">
      <c r="A81" s="223" t="s">
        <v>227</v>
      </c>
      <c r="B81" s="112" t="s">
        <v>228</v>
      </c>
      <c r="C81" s="169">
        <f>SUM(C82:C84)</f>
        <v>0</v>
      </c>
      <c r="D81" s="169">
        <f>SUM(D82:D84)</f>
        <v>554674</v>
      </c>
      <c r="E81" s="105">
        <f>SUM(E82:E84)</f>
        <v>7640915</v>
      </c>
    </row>
    <row r="82" spans="1:5" s="181" customFormat="1" ht="12" customHeight="1" x14ac:dyDescent="0.2">
      <c r="A82" s="13" t="s">
        <v>248</v>
      </c>
      <c r="B82" s="182" t="s">
        <v>229</v>
      </c>
      <c r="C82" s="173"/>
      <c r="D82" s="173">
        <v>554674</v>
      </c>
      <c r="E82" s="109">
        <v>7640915</v>
      </c>
    </row>
    <row r="83" spans="1:5" s="181" customFormat="1" ht="12" customHeight="1" x14ac:dyDescent="0.2">
      <c r="A83" s="12" t="s">
        <v>249</v>
      </c>
      <c r="B83" s="183" t="s">
        <v>230</v>
      </c>
      <c r="C83" s="173"/>
      <c r="D83" s="173"/>
      <c r="E83" s="109"/>
    </row>
    <row r="84" spans="1:5" s="181" customFormat="1" ht="12" customHeight="1" thickBot="1" x14ac:dyDescent="0.25">
      <c r="A84" s="14" t="s">
        <v>250</v>
      </c>
      <c r="B84" s="114" t="s">
        <v>491</v>
      </c>
      <c r="C84" s="173"/>
      <c r="D84" s="173"/>
      <c r="E84" s="109"/>
    </row>
    <row r="85" spans="1:5" s="181" customFormat="1" ht="12" customHeight="1" thickBot="1" x14ac:dyDescent="0.25">
      <c r="A85" s="223" t="s">
        <v>231</v>
      </c>
      <c r="B85" s="112" t="s">
        <v>251</v>
      </c>
      <c r="C85" s="169">
        <f>SUM(C86:C89)</f>
        <v>0</v>
      </c>
      <c r="D85" s="169">
        <f>SUM(D86:D89)</f>
        <v>0</v>
      </c>
      <c r="E85" s="105">
        <f>SUM(E86:E89)</f>
        <v>0</v>
      </c>
    </row>
    <row r="86" spans="1:5" s="181" customFormat="1" ht="12" customHeight="1" x14ac:dyDescent="0.2">
      <c r="A86" s="186" t="s">
        <v>232</v>
      </c>
      <c r="B86" s="182" t="s">
        <v>233</v>
      </c>
      <c r="C86" s="173"/>
      <c r="D86" s="173"/>
      <c r="E86" s="109"/>
    </row>
    <row r="87" spans="1:5" s="181" customFormat="1" ht="12" customHeight="1" x14ac:dyDescent="0.2">
      <c r="A87" s="187" t="s">
        <v>234</v>
      </c>
      <c r="B87" s="183" t="s">
        <v>235</v>
      </c>
      <c r="C87" s="173"/>
      <c r="D87" s="173"/>
      <c r="E87" s="109"/>
    </row>
    <row r="88" spans="1:5" s="181" customFormat="1" ht="12" customHeight="1" x14ac:dyDescent="0.2">
      <c r="A88" s="187" t="s">
        <v>236</v>
      </c>
      <c r="B88" s="183" t="s">
        <v>237</v>
      </c>
      <c r="C88" s="173"/>
      <c r="D88" s="173"/>
      <c r="E88" s="109"/>
    </row>
    <row r="89" spans="1:5" s="181" customFormat="1" ht="12" customHeight="1" thickBot="1" x14ac:dyDescent="0.25">
      <c r="A89" s="188" t="s">
        <v>238</v>
      </c>
      <c r="B89" s="114" t="s">
        <v>239</v>
      </c>
      <c r="C89" s="173"/>
      <c r="D89" s="173"/>
      <c r="E89" s="109"/>
    </row>
    <row r="90" spans="1:5" s="181" customFormat="1" ht="12" customHeight="1" thickBot="1" x14ac:dyDescent="0.25">
      <c r="A90" s="223" t="s">
        <v>240</v>
      </c>
      <c r="B90" s="112" t="s">
        <v>376</v>
      </c>
      <c r="C90" s="225"/>
      <c r="D90" s="225"/>
      <c r="E90" s="226"/>
    </row>
    <row r="91" spans="1:5" s="181" customFormat="1" ht="13.5" customHeight="1" thickBot="1" x14ac:dyDescent="0.25">
      <c r="A91" s="223" t="s">
        <v>242</v>
      </c>
      <c r="B91" s="112" t="s">
        <v>241</v>
      </c>
      <c r="C91" s="225"/>
      <c r="D91" s="225"/>
      <c r="E91" s="226"/>
    </row>
    <row r="92" spans="1:5" s="181" customFormat="1" ht="15.75" customHeight="1" thickBot="1" x14ac:dyDescent="0.25">
      <c r="A92" s="223" t="s">
        <v>254</v>
      </c>
      <c r="B92" s="189" t="s">
        <v>379</v>
      </c>
      <c r="C92" s="175">
        <f>+C69+C73+C78+C81+C85+C91+C90</f>
        <v>182743567</v>
      </c>
      <c r="D92" s="175">
        <f>+D69+D73+D78+D81+D85+D91+D90</f>
        <v>165635318</v>
      </c>
      <c r="E92" s="211">
        <f>+E69+E73+E78+E81+E85+E91+E90</f>
        <v>172721559</v>
      </c>
    </row>
    <row r="93" spans="1:5" s="181" customFormat="1" ht="25.5" customHeight="1" thickBot="1" x14ac:dyDescent="0.25">
      <c r="A93" s="224" t="s">
        <v>378</v>
      </c>
      <c r="B93" s="190" t="s">
        <v>380</v>
      </c>
      <c r="C93" s="175">
        <f>+C68+C92</f>
        <v>662284746</v>
      </c>
      <c r="D93" s="175">
        <f>+D68+D92</f>
        <v>824078826</v>
      </c>
      <c r="E93" s="211">
        <f>+E68+E92</f>
        <v>789128890</v>
      </c>
    </row>
    <row r="94" spans="1:5" s="181" customFormat="1" ht="15.2" customHeight="1" x14ac:dyDescent="0.2">
      <c r="A94" s="3"/>
      <c r="B94" s="4"/>
      <c r="C94" s="116"/>
    </row>
    <row r="95" spans="1:5" ht="16.5" customHeight="1" x14ac:dyDescent="0.25">
      <c r="A95" s="829" t="s">
        <v>34</v>
      </c>
      <c r="B95" s="829"/>
      <c r="C95" s="829"/>
      <c r="D95" s="829"/>
      <c r="E95" s="829"/>
    </row>
    <row r="96" spans="1:5" s="191" customFormat="1" ht="16.5" customHeight="1" thickBot="1" x14ac:dyDescent="0.3">
      <c r="A96" s="831" t="s">
        <v>100</v>
      </c>
      <c r="B96" s="831"/>
      <c r="C96" s="63"/>
      <c r="E96" s="63" t="str">
        <f>E7</f>
        <v xml:space="preserve"> Forintban!</v>
      </c>
    </row>
    <row r="97" spans="1:7" x14ac:dyDescent="0.25">
      <c r="A97" s="820" t="s">
        <v>51</v>
      </c>
      <c r="B97" s="822" t="s">
        <v>420</v>
      </c>
      <c r="C97" s="824" t="str">
        <f>+CONCATENATE(LEFT(Z_ÖSSZEFÜGGÉSEK!A6,4),". évi")</f>
        <v>2021. évi</v>
      </c>
      <c r="D97" s="825"/>
      <c r="E97" s="826"/>
    </row>
    <row r="98" spans="1:7" ht="24.75" thickBot="1" x14ac:dyDescent="0.3">
      <c r="A98" s="821"/>
      <c r="B98" s="823"/>
      <c r="C98" s="253" t="s">
        <v>418</v>
      </c>
      <c r="D98" s="252" t="s">
        <v>419</v>
      </c>
      <c r="E98" s="313" t="str">
        <f>CONCATENATE(E9)</f>
        <v>2021. XII. 31.
teljesítés</v>
      </c>
    </row>
    <row r="99" spans="1:7" s="180" customFormat="1" ht="12" customHeight="1" thickBot="1" x14ac:dyDescent="0.25">
      <c r="A99" s="25" t="s">
        <v>385</v>
      </c>
      <c r="B99" s="26" t="s">
        <v>386</v>
      </c>
      <c r="C99" s="26" t="s">
        <v>387</v>
      </c>
      <c r="D99" s="26" t="s">
        <v>389</v>
      </c>
      <c r="E99" s="264" t="s">
        <v>388</v>
      </c>
    </row>
    <row r="100" spans="1:7" ht="12" customHeight="1" thickBot="1" x14ac:dyDescent="0.3">
      <c r="A100" s="20" t="s">
        <v>6</v>
      </c>
      <c r="B100" s="24" t="s">
        <v>338</v>
      </c>
      <c r="C100" s="168">
        <f>C101+C102+C103+C104+C105+C118</f>
        <v>527038642</v>
      </c>
      <c r="D100" s="168">
        <f>D101+D102+D103+D104+D105+D118</f>
        <v>570614658</v>
      </c>
      <c r="E100" s="239">
        <f>E101+E102+E103+E104+E105+E118</f>
        <v>516600178</v>
      </c>
    </row>
    <row r="101" spans="1:7" ht="12" customHeight="1" x14ac:dyDescent="0.25">
      <c r="A101" s="15" t="s">
        <v>63</v>
      </c>
      <c r="B101" s="8" t="s">
        <v>35</v>
      </c>
      <c r="C101" s="246">
        <v>190005619</v>
      </c>
      <c r="D101" s="246">
        <v>209070783</v>
      </c>
      <c r="E101" s="240">
        <v>197439245</v>
      </c>
    </row>
    <row r="102" spans="1:7" ht="12" customHeight="1" x14ac:dyDescent="0.25">
      <c r="A102" s="12" t="s">
        <v>64</v>
      </c>
      <c r="B102" s="6" t="s">
        <v>121</v>
      </c>
      <c r="C102" s="172">
        <v>32318032</v>
      </c>
      <c r="D102" s="170">
        <v>34633394</v>
      </c>
      <c r="E102" s="106">
        <v>30009650</v>
      </c>
    </row>
    <row r="103" spans="1:7" ht="12" customHeight="1" x14ac:dyDescent="0.25">
      <c r="A103" s="12" t="s">
        <v>65</v>
      </c>
      <c r="B103" s="6" t="s">
        <v>89</v>
      </c>
      <c r="C103" s="172">
        <v>197853933</v>
      </c>
      <c r="D103" s="172">
        <v>215705711</v>
      </c>
      <c r="E103" s="108">
        <v>191010825</v>
      </c>
    </row>
    <row r="104" spans="1:7" ht="12" customHeight="1" x14ac:dyDescent="0.25">
      <c r="A104" s="12" t="s">
        <v>66</v>
      </c>
      <c r="B104" s="9" t="s">
        <v>122</v>
      </c>
      <c r="C104" s="172">
        <v>12550000</v>
      </c>
      <c r="D104" s="172">
        <v>12550000</v>
      </c>
      <c r="E104" s="108">
        <v>10715288</v>
      </c>
    </row>
    <row r="105" spans="1:7" ht="12" customHeight="1" x14ac:dyDescent="0.25">
      <c r="A105" s="12" t="s">
        <v>75</v>
      </c>
      <c r="B105" s="17" t="s">
        <v>123</v>
      </c>
      <c r="C105" s="172">
        <v>84311058</v>
      </c>
      <c r="D105" s="172">
        <v>91431807</v>
      </c>
      <c r="E105" s="108">
        <v>87425170</v>
      </c>
    </row>
    <row r="106" spans="1:7" ht="12" customHeight="1" x14ac:dyDescent="0.25">
      <c r="A106" s="12" t="s">
        <v>67</v>
      </c>
      <c r="B106" s="6" t="s">
        <v>343</v>
      </c>
      <c r="C106" s="172"/>
      <c r="D106" s="172">
        <v>873299</v>
      </c>
      <c r="E106" s="108">
        <v>873299</v>
      </c>
    </row>
    <row r="107" spans="1:7" ht="12" customHeight="1" x14ac:dyDescent="0.25">
      <c r="A107" s="12" t="s">
        <v>68</v>
      </c>
      <c r="B107" s="67" t="s">
        <v>342</v>
      </c>
      <c r="C107" s="172">
        <v>18547030</v>
      </c>
      <c r="D107" s="172">
        <v>18547030</v>
      </c>
      <c r="E107" s="108">
        <v>18547030</v>
      </c>
      <c r="G107" s="722"/>
    </row>
    <row r="108" spans="1:7" ht="12" customHeight="1" x14ac:dyDescent="0.25">
      <c r="A108" s="12" t="s">
        <v>76</v>
      </c>
      <c r="B108" s="67" t="s">
        <v>341</v>
      </c>
      <c r="C108" s="172"/>
      <c r="D108" s="172"/>
      <c r="E108" s="108"/>
    </row>
    <row r="109" spans="1:7" ht="12" customHeight="1" x14ac:dyDescent="0.25">
      <c r="A109" s="12" t="s">
        <v>77</v>
      </c>
      <c r="B109" s="65" t="s">
        <v>257</v>
      </c>
      <c r="C109" s="172"/>
      <c r="D109" s="172"/>
      <c r="E109" s="108"/>
    </row>
    <row r="110" spans="1:7" ht="12" customHeight="1" x14ac:dyDescent="0.25">
      <c r="A110" s="12" t="s">
        <v>78</v>
      </c>
      <c r="B110" s="66" t="s">
        <v>258</v>
      </c>
      <c r="C110" s="172"/>
      <c r="D110" s="172"/>
      <c r="E110" s="108"/>
    </row>
    <row r="111" spans="1:7" ht="12" customHeight="1" x14ac:dyDescent="0.25">
      <c r="A111" s="12" t="s">
        <v>79</v>
      </c>
      <c r="B111" s="66" t="s">
        <v>259</v>
      </c>
      <c r="C111" s="172"/>
      <c r="D111" s="172"/>
      <c r="E111" s="108"/>
    </row>
    <row r="112" spans="1:7" ht="12" customHeight="1" x14ac:dyDescent="0.25">
      <c r="A112" s="12" t="s">
        <v>81</v>
      </c>
      <c r="B112" s="65" t="s">
        <v>260</v>
      </c>
      <c r="C112" s="172">
        <v>4841212</v>
      </c>
      <c r="D112" s="172">
        <v>6041212</v>
      </c>
      <c r="E112" s="108">
        <v>5806707</v>
      </c>
    </row>
    <row r="113" spans="1:5" ht="12" customHeight="1" x14ac:dyDescent="0.25">
      <c r="A113" s="12" t="s">
        <v>124</v>
      </c>
      <c r="B113" s="65" t="s">
        <v>261</v>
      </c>
      <c r="C113" s="172"/>
      <c r="D113" s="172"/>
      <c r="E113" s="108"/>
    </row>
    <row r="114" spans="1:5" ht="12" customHeight="1" x14ac:dyDescent="0.25">
      <c r="A114" s="12" t="s">
        <v>255</v>
      </c>
      <c r="B114" s="66" t="s">
        <v>262</v>
      </c>
      <c r="C114" s="172"/>
      <c r="D114" s="172"/>
      <c r="E114" s="108"/>
    </row>
    <row r="115" spans="1:5" ht="12" customHeight="1" x14ac:dyDescent="0.25">
      <c r="A115" s="11" t="s">
        <v>256</v>
      </c>
      <c r="B115" s="67" t="s">
        <v>263</v>
      </c>
      <c r="C115" s="172"/>
      <c r="D115" s="172"/>
      <c r="E115" s="108"/>
    </row>
    <row r="116" spans="1:5" ht="12" customHeight="1" x14ac:dyDescent="0.25">
      <c r="A116" s="12" t="s">
        <v>339</v>
      </c>
      <c r="B116" s="67" t="s">
        <v>264</v>
      </c>
      <c r="C116" s="172"/>
      <c r="D116" s="172"/>
      <c r="E116" s="108"/>
    </row>
    <row r="117" spans="1:5" ht="12" customHeight="1" x14ac:dyDescent="0.25">
      <c r="A117" s="14" t="s">
        <v>340</v>
      </c>
      <c r="B117" s="67" t="s">
        <v>265</v>
      </c>
      <c r="C117" s="172">
        <v>60922816</v>
      </c>
      <c r="D117" s="172">
        <v>65970266</v>
      </c>
      <c r="E117" s="108">
        <v>62198134</v>
      </c>
    </row>
    <row r="118" spans="1:5" ht="12" customHeight="1" x14ac:dyDescent="0.25">
      <c r="A118" s="12" t="s">
        <v>344</v>
      </c>
      <c r="B118" s="9" t="s">
        <v>36</v>
      </c>
      <c r="C118" s="172">
        <v>10000000</v>
      </c>
      <c r="D118" s="170">
        <v>7222963</v>
      </c>
      <c r="E118" s="108"/>
    </row>
    <row r="119" spans="1:5" ht="12" customHeight="1" x14ac:dyDescent="0.25">
      <c r="A119" s="12" t="s">
        <v>345</v>
      </c>
      <c r="B119" s="6" t="s">
        <v>347</v>
      </c>
      <c r="C119" s="172">
        <v>8000000</v>
      </c>
      <c r="D119" s="170">
        <v>6722963</v>
      </c>
      <c r="E119" s="108"/>
    </row>
    <row r="120" spans="1:5" ht="12" customHeight="1" thickBot="1" x14ac:dyDescent="0.3">
      <c r="A120" s="16" t="s">
        <v>346</v>
      </c>
      <c r="B120" s="235" t="s">
        <v>348</v>
      </c>
      <c r="C120" s="247">
        <v>2000000</v>
      </c>
      <c r="D120" s="247">
        <v>500000</v>
      </c>
      <c r="E120" s="108"/>
    </row>
    <row r="121" spans="1:5" ht="12" customHeight="1" thickBot="1" x14ac:dyDescent="0.3">
      <c r="A121" s="233" t="s">
        <v>7</v>
      </c>
      <c r="B121" s="234" t="s">
        <v>266</v>
      </c>
      <c r="C121" s="248">
        <f>+C122+C124+C126</f>
        <v>128490915</v>
      </c>
      <c r="D121" s="169">
        <f>+D122+D124+D126</f>
        <v>246154305</v>
      </c>
      <c r="E121" s="239">
        <f>+E122+E124+E126</f>
        <v>153983272</v>
      </c>
    </row>
    <row r="122" spans="1:5" ht="12" customHeight="1" x14ac:dyDescent="0.25">
      <c r="A122" s="13" t="s">
        <v>69</v>
      </c>
      <c r="B122" s="6" t="s">
        <v>142</v>
      </c>
      <c r="C122" s="172">
        <v>33380818</v>
      </c>
      <c r="D122" s="257">
        <v>25784466</v>
      </c>
      <c r="E122" s="240">
        <v>23574143</v>
      </c>
    </row>
    <row r="123" spans="1:5" ht="12" customHeight="1" x14ac:dyDescent="0.25">
      <c r="A123" s="13" t="s">
        <v>70</v>
      </c>
      <c r="B123" s="10" t="s">
        <v>270</v>
      </c>
      <c r="C123" s="172"/>
      <c r="D123" s="257">
        <v>8509200</v>
      </c>
      <c r="E123" s="107">
        <f>'Z_3.sz.mell.'!G25</f>
        <v>8509200</v>
      </c>
    </row>
    <row r="124" spans="1:5" ht="12" customHeight="1" x14ac:dyDescent="0.25">
      <c r="A124" s="13" t="s">
        <v>71</v>
      </c>
      <c r="B124" s="10" t="s">
        <v>125</v>
      </c>
      <c r="C124" s="172">
        <v>95110097</v>
      </c>
      <c r="D124" s="258">
        <v>216026421</v>
      </c>
      <c r="E124" s="106">
        <v>126065711</v>
      </c>
    </row>
    <row r="125" spans="1:5" ht="12" customHeight="1" x14ac:dyDescent="0.25">
      <c r="A125" s="13" t="s">
        <v>72</v>
      </c>
      <c r="B125" s="10" t="s">
        <v>271</v>
      </c>
      <c r="C125" s="172">
        <v>87833480</v>
      </c>
      <c r="D125" s="258">
        <v>184833480</v>
      </c>
      <c r="E125" s="106">
        <f>'Z_4.sz.mell.'!G26</f>
        <v>121637168</v>
      </c>
    </row>
    <row r="126" spans="1:5" ht="12" customHeight="1" x14ac:dyDescent="0.25">
      <c r="A126" s="13" t="s">
        <v>73</v>
      </c>
      <c r="B126" s="114" t="s">
        <v>144</v>
      </c>
      <c r="C126" s="172"/>
      <c r="D126" s="258">
        <v>4343418</v>
      </c>
      <c r="E126" s="106">
        <v>4343418</v>
      </c>
    </row>
    <row r="127" spans="1:5" ht="12" customHeight="1" x14ac:dyDescent="0.25">
      <c r="A127" s="13" t="s">
        <v>80</v>
      </c>
      <c r="B127" s="113" t="s">
        <v>331</v>
      </c>
      <c r="C127" s="170"/>
      <c r="D127" s="258"/>
      <c r="E127" s="106"/>
    </row>
    <row r="128" spans="1:5" ht="12" customHeight="1" x14ac:dyDescent="0.25">
      <c r="A128" s="13" t="s">
        <v>82</v>
      </c>
      <c r="B128" s="178" t="s">
        <v>276</v>
      </c>
      <c r="C128" s="170"/>
      <c r="D128" s="258"/>
      <c r="E128" s="106"/>
    </row>
    <row r="129" spans="1:5" x14ac:dyDescent="0.25">
      <c r="A129" s="13" t="s">
        <v>126</v>
      </c>
      <c r="B129" s="66" t="s">
        <v>259</v>
      </c>
      <c r="C129" s="170"/>
      <c r="D129" s="258">
        <v>4100000</v>
      </c>
      <c r="E129" s="106">
        <v>4100000</v>
      </c>
    </row>
    <row r="130" spans="1:5" ht="12" customHeight="1" x14ac:dyDescent="0.25">
      <c r="A130" s="13" t="s">
        <v>127</v>
      </c>
      <c r="B130" s="66" t="s">
        <v>275</v>
      </c>
      <c r="C130" s="170"/>
      <c r="D130" s="258">
        <v>243418</v>
      </c>
      <c r="E130" s="106">
        <v>243418</v>
      </c>
    </row>
    <row r="131" spans="1:5" ht="12" customHeight="1" x14ac:dyDescent="0.25">
      <c r="A131" s="13" t="s">
        <v>128</v>
      </c>
      <c r="B131" s="66" t="s">
        <v>274</v>
      </c>
      <c r="C131" s="170"/>
      <c r="D131" s="258"/>
      <c r="E131" s="106"/>
    </row>
    <row r="132" spans="1:5" ht="12" customHeight="1" x14ac:dyDescent="0.25">
      <c r="A132" s="13" t="s">
        <v>267</v>
      </c>
      <c r="B132" s="66" t="s">
        <v>262</v>
      </c>
      <c r="C132" s="170"/>
      <c r="D132" s="258"/>
      <c r="E132" s="106"/>
    </row>
    <row r="133" spans="1:5" ht="12" customHeight="1" x14ac:dyDescent="0.25">
      <c r="A133" s="13" t="s">
        <v>268</v>
      </c>
      <c r="B133" s="66" t="s">
        <v>273</v>
      </c>
      <c r="C133" s="170"/>
      <c r="D133" s="258"/>
      <c r="E133" s="106"/>
    </row>
    <row r="134" spans="1:5" ht="16.5" thickBot="1" x14ac:dyDescent="0.3">
      <c r="A134" s="11" t="s">
        <v>269</v>
      </c>
      <c r="B134" s="66" t="s">
        <v>272</v>
      </c>
      <c r="C134" s="172"/>
      <c r="D134" s="259"/>
      <c r="E134" s="108"/>
    </row>
    <row r="135" spans="1:5" ht="12" customHeight="1" thickBot="1" x14ac:dyDescent="0.3">
      <c r="A135" s="18" t="s">
        <v>8</v>
      </c>
      <c r="B135" s="59" t="s">
        <v>349</v>
      </c>
      <c r="C135" s="169">
        <f>+C100+C121</f>
        <v>655529557</v>
      </c>
      <c r="D135" s="256">
        <f>+D100+D121</f>
        <v>816768963</v>
      </c>
      <c r="E135" s="105">
        <f>+E100+E121</f>
        <v>670583450</v>
      </c>
    </row>
    <row r="136" spans="1:5" ht="12" customHeight="1" thickBot="1" x14ac:dyDescent="0.3">
      <c r="A136" s="18" t="s">
        <v>9</v>
      </c>
      <c r="B136" s="59" t="s">
        <v>421</v>
      </c>
      <c r="C136" s="169">
        <f>+C137+C138+C139</f>
        <v>0</v>
      </c>
      <c r="D136" s="256">
        <f>+D137+D138+D139</f>
        <v>0</v>
      </c>
      <c r="E136" s="105">
        <f>+E137+E138+E139</f>
        <v>0</v>
      </c>
    </row>
    <row r="137" spans="1:5" ht="12" customHeight="1" x14ac:dyDescent="0.25">
      <c r="A137" s="13" t="s">
        <v>176</v>
      </c>
      <c r="B137" s="10" t="s">
        <v>357</v>
      </c>
      <c r="C137" s="170"/>
      <c r="D137" s="258"/>
      <c r="E137" s="106"/>
    </row>
    <row r="138" spans="1:5" ht="12" customHeight="1" x14ac:dyDescent="0.25">
      <c r="A138" s="13" t="s">
        <v>177</v>
      </c>
      <c r="B138" s="10" t="s">
        <v>358</v>
      </c>
      <c r="C138" s="170"/>
      <c r="D138" s="258"/>
      <c r="E138" s="106"/>
    </row>
    <row r="139" spans="1:5" ht="12" customHeight="1" thickBot="1" x14ac:dyDescent="0.3">
      <c r="A139" s="11" t="s">
        <v>178</v>
      </c>
      <c r="B139" s="10" t="s">
        <v>359</v>
      </c>
      <c r="C139" s="170"/>
      <c r="D139" s="258"/>
      <c r="E139" s="106"/>
    </row>
    <row r="140" spans="1:5" ht="12" customHeight="1" thickBot="1" x14ac:dyDescent="0.3">
      <c r="A140" s="18" t="s">
        <v>10</v>
      </c>
      <c r="B140" s="59" t="s">
        <v>351</v>
      </c>
      <c r="C140" s="169">
        <f>SUM(C141:C146)</f>
        <v>0</v>
      </c>
      <c r="D140" s="256">
        <f>SUM(D141:D146)</f>
        <v>0</v>
      </c>
      <c r="E140" s="105">
        <f>SUM(E141:E146)</f>
        <v>0</v>
      </c>
    </row>
    <row r="141" spans="1:5" ht="12" customHeight="1" x14ac:dyDescent="0.25">
      <c r="A141" s="13" t="s">
        <v>56</v>
      </c>
      <c r="B141" s="7" t="s">
        <v>360</v>
      </c>
      <c r="C141" s="170"/>
      <c r="D141" s="258"/>
      <c r="E141" s="106"/>
    </row>
    <row r="142" spans="1:5" ht="12" customHeight="1" x14ac:dyDescent="0.25">
      <c r="A142" s="13" t="s">
        <v>57</v>
      </c>
      <c r="B142" s="7" t="s">
        <v>352</v>
      </c>
      <c r="C142" s="170"/>
      <c r="D142" s="258"/>
      <c r="E142" s="106"/>
    </row>
    <row r="143" spans="1:5" ht="12" customHeight="1" x14ac:dyDescent="0.25">
      <c r="A143" s="13" t="s">
        <v>58</v>
      </c>
      <c r="B143" s="7" t="s">
        <v>353</v>
      </c>
      <c r="C143" s="170"/>
      <c r="D143" s="258"/>
      <c r="E143" s="106"/>
    </row>
    <row r="144" spans="1:5" ht="12" customHeight="1" x14ac:dyDescent="0.25">
      <c r="A144" s="13" t="s">
        <v>113</v>
      </c>
      <c r="B144" s="7" t="s">
        <v>354</v>
      </c>
      <c r="C144" s="170"/>
      <c r="D144" s="258"/>
      <c r="E144" s="106"/>
    </row>
    <row r="145" spans="1:9" ht="12" customHeight="1" x14ac:dyDescent="0.25">
      <c r="A145" s="13" t="s">
        <v>114</v>
      </c>
      <c r="B145" s="7" t="s">
        <v>355</v>
      </c>
      <c r="C145" s="170"/>
      <c r="D145" s="258"/>
      <c r="E145" s="106"/>
    </row>
    <row r="146" spans="1:9" ht="12" customHeight="1" thickBot="1" x14ac:dyDescent="0.3">
      <c r="A146" s="16" t="s">
        <v>115</v>
      </c>
      <c r="B146" s="319" t="s">
        <v>356</v>
      </c>
      <c r="C146" s="247"/>
      <c r="D146" s="296"/>
      <c r="E146" s="241"/>
    </row>
    <row r="147" spans="1:9" ht="12" customHeight="1" thickBot="1" x14ac:dyDescent="0.3">
      <c r="A147" s="18" t="s">
        <v>11</v>
      </c>
      <c r="B147" s="59" t="s">
        <v>364</v>
      </c>
      <c r="C147" s="175">
        <f>+C148+C149+C150+C151</f>
        <v>6755189</v>
      </c>
      <c r="D147" s="260">
        <f>+D148+D149+D150+D151</f>
        <v>7309863</v>
      </c>
      <c r="E147" s="211">
        <f>+E148+E149+E150+E151</f>
        <v>7309863</v>
      </c>
    </row>
    <row r="148" spans="1:9" ht="12" customHeight="1" x14ac:dyDescent="0.25">
      <c r="A148" s="13" t="s">
        <v>59</v>
      </c>
      <c r="B148" s="7" t="s">
        <v>277</v>
      </c>
      <c r="C148" s="170"/>
      <c r="D148" s="258"/>
      <c r="E148" s="106"/>
    </row>
    <row r="149" spans="1:9" ht="12" customHeight="1" x14ac:dyDescent="0.25">
      <c r="A149" s="13" t="s">
        <v>60</v>
      </c>
      <c r="B149" s="7" t="s">
        <v>278</v>
      </c>
      <c r="C149" s="170">
        <v>6755189</v>
      </c>
      <c r="D149" s="258">
        <v>7309863</v>
      </c>
      <c r="E149" s="106">
        <v>7309863</v>
      </c>
    </row>
    <row r="150" spans="1:9" ht="12" customHeight="1" x14ac:dyDescent="0.25">
      <c r="A150" s="13" t="s">
        <v>194</v>
      </c>
      <c r="B150" s="7" t="s">
        <v>365</v>
      </c>
      <c r="C150" s="170"/>
      <c r="D150" s="258"/>
      <c r="E150" s="106"/>
    </row>
    <row r="151" spans="1:9" ht="12" customHeight="1" thickBot="1" x14ac:dyDescent="0.3">
      <c r="A151" s="11" t="s">
        <v>195</v>
      </c>
      <c r="B151" s="5" t="s">
        <v>294</v>
      </c>
      <c r="C151" s="170"/>
      <c r="D151" s="258"/>
      <c r="E151" s="106"/>
    </row>
    <row r="152" spans="1:9" ht="12" customHeight="1" thickBot="1" x14ac:dyDescent="0.3">
      <c r="A152" s="18" t="s">
        <v>12</v>
      </c>
      <c r="B152" s="59" t="s">
        <v>366</v>
      </c>
      <c r="C152" s="249">
        <f>SUM(C153:C157)</f>
        <v>0</v>
      </c>
      <c r="D152" s="261">
        <f>SUM(D153:D157)</f>
        <v>0</v>
      </c>
      <c r="E152" s="243">
        <f>SUM(E153:E157)</f>
        <v>0</v>
      </c>
    </row>
    <row r="153" spans="1:9" ht="12" customHeight="1" x14ac:dyDescent="0.25">
      <c r="A153" s="13" t="s">
        <v>61</v>
      </c>
      <c r="B153" s="7" t="s">
        <v>361</v>
      </c>
      <c r="C153" s="170"/>
      <c r="D153" s="258"/>
      <c r="E153" s="106"/>
    </row>
    <row r="154" spans="1:9" ht="12" customHeight="1" x14ac:dyDescent="0.25">
      <c r="A154" s="13" t="s">
        <v>62</v>
      </c>
      <c r="B154" s="7" t="s">
        <v>368</v>
      </c>
      <c r="C154" s="170"/>
      <c r="D154" s="258"/>
      <c r="E154" s="106"/>
    </row>
    <row r="155" spans="1:9" ht="12" customHeight="1" x14ac:dyDescent="0.25">
      <c r="A155" s="13" t="s">
        <v>206</v>
      </c>
      <c r="B155" s="7" t="s">
        <v>363</v>
      </c>
      <c r="C155" s="170"/>
      <c r="D155" s="258"/>
      <c r="E155" s="106"/>
    </row>
    <row r="156" spans="1:9" ht="12" customHeight="1" x14ac:dyDescent="0.25">
      <c r="A156" s="13" t="s">
        <v>207</v>
      </c>
      <c r="B156" s="7" t="s">
        <v>369</v>
      </c>
      <c r="C156" s="170"/>
      <c r="D156" s="258"/>
      <c r="E156" s="106"/>
    </row>
    <row r="157" spans="1:9" ht="12" customHeight="1" thickBot="1" x14ac:dyDescent="0.3">
      <c r="A157" s="13" t="s">
        <v>367</v>
      </c>
      <c r="B157" s="7" t="s">
        <v>370</v>
      </c>
      <c r="C157" s="170"/>
      <c r="D157" s="258"/>
      <c r="E157" s="106"/>
    </row>
    <row r="158" spans="1:9" ht="12" customHeight="1" thickBot="1" x14ac:dyDescent="0.3">
      <c r="A158" s="18" t="s">
        <v>13</v>
      </c>
      <c r="B158" s="59" t="s">
        <v>371</v>
      </c>
      <c r="C158" s="250"/>
      <c r="D158" s="262"/>
      <c r="E158" s="244"/>
    </row>
    <row r="159" spans="1:9" ht="12" customHeight="1" thickBot="1" x14ac:dyDescent="0.3">
      <c r="A159" s="18" t="s">
        <v>14</v>
      </c>
      <c r="B159" s="59" t="s">
        <v>372</v>
      </c>
      <c r="C159" s="250"/>
      <c r="D159" s="262"/>
      <c r="E159" s="244"/>
    </row>
    <row r="160" spans="1:9" ht="15.2" customHeight="1" thickBot="1" x14ac:dyDescent="0.3">
      <c r="A160" s="18" t="s">
        <v>15</v>
      </c>
      <c r="B160" s="59" t="s">
        <v>374</v>
      </c>
      <c r="C160" s="251">
        <f>+C136+C140+C147+C152+C158+C159</f>
        <v>6755189</v>
      </c>
      <c r="D160" s="263">
        <f>+D136+D140+D147+D152+D158+D159</f>
        <v>7309863</v>
      </c>
      <c r="E160" s="245">
        <f>+E136+E140+E147+E152+E158+E159</f>
        <v>7309863</v>
      </c>
      <c r="F160" s="192"/>
      <c r="G160" s="193"/>
      <c r="H160" s="193"/>
      <c r="I160" s="193"/>
    </row>
    <row r="161" spans="1:5" s="181" customFormat="1" ht="12.95" customHeight="1" thickBot="1" x14ac:dyDescent="0.25">
      <c r="A161" s="115" t="s">
        <v>16</v>
      </c>
      <c r="B161" s="156" t="s">
        <v>373</v>
      </c>
      <c r="C161" s="251">
        <f>+C135+C160</f>
        <v>662284746</v>
      </c>
      <c r="D161" s="263">
        <f>+D135+D160</f>
        <v>824078826</v>
      </c>
      <c r="E161" s="245">
        <f>+E135+E160</f>
        <v>677893313</v>
      </c>
    </row>
    <row r="162" spans="1:5" x14ac:dyDescent="0.25">
      <c r="C162" s="629">
        <f>C93-C161</f>
        <v>0</v>
      </c>
      <c r="D162" s="629">
        <f>D93-D161</f>
        <v>0</v>
      </c>
    </row>
    <row r="163" spans="1:5" x14ac:dyDescent="0.25">
      <c r="A163" s="827" t="s">
        <v>279</v>
      </c>
      <c r="B163" s="827"/>
      <c r="C163" s="827"/>
      <c r="D163" s="827"/>
      <c r="E163" s="827"/>
    </row>
    <row r="164" spans="1:5" ht="15.2" customHeight="1" thickBot="1" x14ac:dyDescent="0.3">
      <c r="A164" s="819" t="s">
        <v>101</v>
      </c>
      <c r="B164" s="819"/>
      <c r="C164" s="117"/>
      <c r="E164" s="117" t="str">
        <f>E96</f>
        <v xml:space="preserve"> Forintban!</v>
      </c>
    </row>
    <row r="165" spans="1:5" ht="25.5" customHeight="1" thickBot="1" x14ac:dyDescent="0.3">
      <c r="A165" s="18">
        <v>1</v>
      </c>
      <c r="B165" s="23" t="s">
        <v>375</v>
      </c>
      <c r="C165" s="255">
        <f>+C68-C135</f>
        <v>-175988378</v>
      </c>
      <c r="D165" s="169">
        <f>+D68-D135</f>
        <v>-158325455</v>
      </c>
      <c r="E165" s="105">
        <f>+E68-E135</f>
        <v>-54176119</v>
      </c>
    </row>
    <row r="166" spans="1:5" ht="32.450000000000003" customHeight="1" thickBot="1" x14ac:dyDescent="0.3">
      <c r="A166" s="18" t="s">
        <v>7</v>
      </c>
      <c r="B166" s="23" t="s">
        <v>381</v>
      </c>
      <c r="C166" s="169">
        <f>+C92-C160</f>
        <v>175988378</v>
      </c>
      <c r="D166" s="169">
        <f>+D92-D160</f>
        <v>158325455</v>
      </c>
      <c r="E166" s="105">
        <f>+E92-E160</f>
        <v>165411696</v>
      </c>
    </row>
    <row r="169" spans="1:5" x14ac:dyDescent="0.25">
      <c r="E169" s="723"/>
    </row>
    <row r="170" spans="1:5" x14ac:dyDescent="0.25">
      <c r="E170" s="723"/>
    </row>
    <row r="171" spans="1:5" x14ac:dyDescent="0.25">
      <c r="E171" s="723"/>
    </row>
    <row r="172" spans="1:5" x14ac:dyDescent="0.25">
      <c r="E172" s="723"/>
    </row>
    <row r="173" spans="1:5" x14ac:dyDescent="0.25">
      <c r="E173" s="724"/>
    </row>
  </sheetData>
  <mergeCells count="16">
    <mergeCell ref="C97:E97"/>
    <mergeCell ref="A163:E163"/>
    <mergeCell ref="A6:E6"/>
    <mergeCell ref="A95:E95"/>
    <mergeCell ref="A7:B7"/>
    <mergeCell ref="A96:B96"/>
    <mergeCell ref="B1:E1"/>
    <mergeCell ref="A2:E2"/>
    <mergeCell ref="A3:E3"/>
    <mergeCell ref="A4:E4"/>
    <mergeCell ref="A164:B164"/>
    <mergeCell ref="A8:A9"/>
    <mergeCell ref="B8:B9"/>
    <mergeCell ref="C8:E8"/>
    <mergeCell ref="A97:A98"/>
    <mergeCell ref="B97:B98"/>
  </mergeCells>
  <phoneticPr fontId="0" type="noConversion"/>
  <printOptions horizontalCentered="1"/>
  <pageMargins left="0.6692913385826772" right="0.6692913385826772" top="0.86614173228346458" bottom="0.86614173228346458" header="0" footer="0"/>
  <pageSetup paperSize="9" scale="72" fitToHeight="2" orientation="portrait" r:id="rId1"/>
  <headerFooter alignWithMargins="0"/>
  <rowBreaks count="2" manualBreakCount="2">
    <brk id="68" max="4" man="1"/>
    <brk id="14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32ABB-1B41-4BCF-9A7F-83DF3E8724EF}">
  <sheetPr>
    <tabColor theme="5"/>
  </sheetPr>
  <dimension ref="A1:I166"/>
  <sheetViews>
    <sheetView topLeftCell="A140" zoomScale="120" zoomScaleNormal="120" zoomScaleSheetLayoutView="100" workbookViewId="0">
      <selection activeCell="D168" sqref="D168"/>
    </sheetView>
  </sheetViews>
  <sheetFormatPr defaultRowHeight="15.75" x14ac:dyDescent="0.25"/>
  <cols>
    <col min="1" max="1" width="9.5" style="157" customWidth="1"/>
    <col min="2" max="2" width="65.83203125" style="157" customWidth="1"/>
    <col min="3" max="3" width="17.83203125" style="158" customWidth="1"/>
    <col min="4" max="5" width="17.83203125" style="179" customWidth="1"/>
    <col min="6" max="16384" width="9.33203125" style="179"/>
  </cols>
  <sheetData>
    <row r="1" spans="1:5" x14ac:dyDescent="0.25">
      <c r="A1" s="320"/>
      <c r="B1" s="814" t="str">
        <f>CONCATENATE("1.2. melléklet ",Z_ALAPADATOK!A7," ",Z_ALAPADATOK!B7," ",Z_ALAPADATOK!C7," ",Z_ALAPADATOK!D7," ",Z_ALAPADATOK!E7," ",Z_ALAPADATOK!F7," ",Z_ALAPADATOK!G7," ",Z_ALAPADATOK!H7)</f>
        <v>1.2. melléklet a … / 2022. ( … ) önkormányzati rendelethez</v>
      </c>
      <c r="C1" s="815"/>
      <c r="D1" s="815"/>
      <c r="E1" s="815"/>
    </row>
    <row r="2" spans="1:5" x14ac:dyDescent="0.25">
      <c r="A2" s="816" t="str">
        <f>CONCATENATE(Z_ALAPADATOK!A3)</f>
        <v>Sajószöged Községi Önkormányzat</v>
      </c>
      <c r="B2" s="817"/>
      <c r="C2" s="817"/>
      <c r="D2" s="817"/>
      <c r="E2" s="817"/>
    </row>
    <row r="3" spans="1:5" x14ac:dyDescent="0.25">
      <c r="A3" s="816" t="str">
        <f>CONCATENATE(Z_ALAPADATOK!B1,". ÉVI ZÁRSZÁMADÁS")</f>
        <v>2021. ÉVI ZÁRSZÁMADÁS</v>
      </c>
      <c r="B3" s="816"/>
      <c r="C3" s="818"/>
      <c r="D3" s="816"/>
      <c r="E3" s="816"/>
    </row>
    <row r="4" spans="1:5" ht="17.25" customHeight="1" x14ac:dyDescent="0.25">
      <c r="A4" s="816" t="s">
        <v>844</v>
      </c>
      <c r="B4" s="816"/>
      <c r="C4" s="818"/>
      <c r="D4" s="816"/>
      <c r="E4" s="816"/>
    </row>
    <row r="5" spans="1:5" x14ac:dyDescent="0.25">
      <c r="A5" s="320"/>
      <c r="B5" s="320"/>
      <c r="C5" s="321"/>
      <c r="D5" s="322"/>
      <c r="E5" s="322"/>
    </row>
    <row r="6" spans="1:5" ht="15.95" customHeight="1" x14ac:dyDescent="0.25">
      <c r="A6" s="828" t="s">
        <v>3</v>
      </c>
      <c r="B6" s="828"/>
      <c r="C6" s="828"/>
      <c r="D6" s="828"/>
      <c r="E6" s="828"/>
    </row>
    <row r="7" spans="1:5" ht="15.95" customHeight="1" thickBot="1" x14ac:dyDescent="0.3">
      <c r="A7" s="830" t="s">
        <v>99</v>
      </c>
      <c r="B7" s="830"/>
      <c r="C7" s="323"/>
      <c r="D7" s="322"/>
      <c r="E7" s="323" t="str">
        <f>CONCATENATE('Z_1.1.sz.mell.'!E7)</f>
        <v xml:space="preserve"> Forintban!</v>
      </c>
    </row>
    <row r="8" spans="1:5" x14ac:dyDescent="0.25">
      <c r="A8" s="820" t="s">
        <v>51</v>
      </c>
      <c r="B8" s="822" t="s">
        <v>5</v>
      </c>
      <c r="C8" s="824" t="str">
        <f>+CONCATENATE(LEFT(Z_ÖSSZEFÜGGÉSEK!A6,4),". évi")</f>
        <v>2021. évi</v>
      </c>
      <c r="D8" s="825"/>
      <c r="E8" s="826"/>
    </row>
    <row r="9" spans="1:5" ht="24.75" thickBot="1" x14ac:dyDescent="0.3">
      <c r="A9" s="821"/>
      <c r="B9" s="823"/>
      <c r="C9" s="253" t="s">
        <v>418</v>
      </c>
      <c r="D9" s="252" t="s">
        <v>419</v>
      </c>
      <c r="E9" s="313" t="str">
        <f>CONCATENATE('Z_1.1.sz.mell.'!E9)</f>
        <v>2021. XII. 31.
teljesítés</v>
      </c>
    </row>
    <row r="10" spans="1:5" s="180" customFormat="1" ht="12" customHeight="1" thickBot="1" x14ac:dyDescent="0.25">
      <c r="A10" s="176" t="s">
        <v>385</v>
      </c>
      <c r="B10" s="177" t="s">
        <v>386</v>
      </c>
      <c r="C10" s="177" t="s">
        <v>387</v>
      </c>
      <c r="D10" s="177" t="s">
        <v>389</v>
      </c>
      <c r="E10" s="254" t="s">
        <v>388</v>
      </c>
    </row>
    <row r="11" spans="1:5" s="181" customFormat="1" ht="12" customHeight="1" thickBot="1" x14ac:dyDescent="0.25">
      <c r="A11" s="18" t="s">
        <v>6</v>
      </c>
      <c r="B11" s="19" t="s">
        <v>161</v>
      </c>
      <c r="C11" s="169">
        <f>'Z_1.1.sz.mell.'!C11</f>
        <v>168879689</v>
      </c>
      <c r="D11" s="169">
        <f>'Z_1.1.sz.mell.'!D11</f>
        <v>192219846</v>
      </c>
      <c r="E11" s="169">
        <f>'Z_1.1.sz.mell.'!E11</f>
        <v>192219846</v>
      </c>
    </row>
    <row r="12" spans="1:5" s="181" customFormat="1" ht="12" customHeight="1" x14ac:dyDescent="0.2">
      <c r="A12" s="13" t="s">
        <v>63</v>
      </c>
      <c r="B12" s="182" t="s">
        <v>162</v>
      </c>
      <c r="C12" s="171">
        <f>'Z_1.1.sz.mell.'!C12</f>
        <v>57626844</v>
      </c>
      <c r="D12" s="171">
        <f>'Z_1.1.sz.mell.'!D12</f>
        <v>57872570</v>
      </c>
      <c r="E12" s="107">
        <f>'Z_1.1.sz.mell.'!E12</f>
        <v>57872570</v>
      </c>
    </row>
    <row r="13" spans="1:5" s="181" customFormat="1" ht="12" customHeight="1" x14ac:dyDescent="0.2">
      <c r="A13" s="12" t="s">
        <v>64</v>
      </c>
      <c r="B13" s="183" t="s">
        <v>163</v>
      </c>
      <c r="C13" s="170">
        <f>'Z_1.1.sz.mell.'!C13</f>
        <v>51930050</v>
      </c>
      <c r="D13" s="170">
        <f>'Z_1.1.sz.mell.'!D13</f>
        <v>54207000</v>
      </c>
      <c r="E13" s="106">
        <f>'Z_1.1.sz.mell.'!E13</f>
        <v>54207000</v>
      </c>
    </row>
    <row r="14" spans="1:5" s="181" customFormat="1" ht="12" customHeight="1" x14ac:dyDescent="0.2">
      <c r="A14" s="12" t="s">
        <v>65</v>
      </c>
      <c r="B14" s="183" t="s">
        <v>164</v>
      </c>
      <c r="C14" s="170">
        <f>'Z_1.1.sz.mell.'!C14</f>
        <v>54251505</v>
      </c>
      <c r="D14" s="170">
        <f>'Z_1.1.sz.mell.'!D14</f>
        <v>57091483</v>
      </c>
      <c r="E14" s="106">
        <f>'Z_1.1.sz.mell.'!E14</f>
        <v>57091483</v>
      </c>
    </row>
    <row r="15" spans="1:5" s="181" customFormat="1" ht="12" customHeight="1" x14ac:dyDescent="0.2">
      <c r="A15" s="12" t="s">
        <v>66</v>
      </c>
      <c r="B15" s="183" t="s">
        <v>165</v>
      </c>
      <c r="C15" s="170">
        <f>'Z_1.1.sz.mell.'!C15</f>
        <v>5071290</v>
      </c>
      <c r="D15" s="170">
        <f>'Z_1.1.sz.mell.'!D15</f>
        <v>5155422</v>
      </c>
      <c r="E15" s="106">
        <f>'Z_1.1.sz.mell.'!E15</f>
        <v>5155422</v>
      </c>
    </row>
    <row r="16" spans="1:5" s="181" customFormat="1" ht="12" customHeight="1" x14ac:dyDescent="0.2">
      <c r="A16" s="12" t="s">
        <v>96</v>
      </c>
      <c r="B16" s="113" t="s">
        <v>333</v>
      </c>
      <c r="C16" s="170">
        <f>'Z_1.1.sz.mell.'!C16</f>
        <v>0</v>
      </c>
      <c r="D16" s="170">
        <f>'Z_1.1.sz.mell.'!D16</f>
        <v>17711650</v>
      </c>
      <c r="E16" s="106">
        <f>'Z_1.1.sz.mell.'!E16</f>
        <v>17711650</v>
      </c>
    </row>
    <row r="17" spans="1:5" s="181" customFormat="1" ht="12" customHeight="1" thickBot="1" x14ac:dyDescent="0.25">
      <c r="A17" s="14" t="s">
        <v>67</v>
      </c>
      <c r="B17" s="114" t="s">
        <v>334</v>
      </c>
      <c r="C17" s="170">
        <f>'Z_1.1.sz.mell.'!C17</f>
        <v>0</v>
      </c>
      <c r="D17" s="170">
        <f>'Z_1.1.sz.mell.'!D17</f>
        <v>181721</v>
      </c>
      <c r="E17" s="106">
        <f>'Z_1.1.sz.mell.'!E17</f>
        <v>181721</v>
      </c>
    </row>
    <row r="18" spans="1:5" s="181" customFormat="1" ht="12" customHeight="1" thickBot="1" x14ac:dyDescent="0.25">
      <c r="A18" s="18" t="s">
        <v>7</v>
      </c>
      <c r="B18" s="112" t="s">
        <v>166</v>
      </c>
      <c r="C18" s="169">
        <f>'Z_1.1.sz.mell.'!C18</f>
        <v>8356200</v>
      </c>
      <c r="D18" s="169">
        <f>'Z_1.1.sz.mell.'!D18</f>
        <v>11374380</v>
      </c>
      <c r="E18" s="105">
        <f>'Z_1.1.sz.mell.'!E18</f>
        <v>12365299</v>
      </c>
    </row>
    <row r="19" spans="1:5" s="181" customFormat="1" ht="12" customHeight="1" x14ac:dyDescent="0.2">
      <c r="A19" s="13" t="s">
        <v>69</v>
      </c>
      <c r="B19" s="182" t="s">
        <v>167</v>
      </c>
      <c r="C19" s="171">
        <f>'Z_1.1.sz.mell.'!C19</f>
        <v>0</v>
      </c>
      <c r="D19" s="171">
        <f>'Z_1.1.sz.mell.'!D19</f>
        <v>0</v>
      </c>
      <c r="E19" s="107">
        <f>'Z_1.1.sz.mell.'!E19</f>
        <v>0</v>
      </c>
    </row>
    <row r="20" spans="1:5" s="181" customFormat="1" ht="12" customHeight="1" x14ac:dyDescent="0.2">
      <c r="A20" s="12" t="s">
        <v>70</v>
      </c>
      <c r="B20" s="183" t="s">
        <v>168</v>
      </c>
      <c r="C20" s="170">
        <f>'Z_1.1.sz.mell.'!C20</f>
        <v>0</v>
      </c>
      <c r="D20" s="170">
        <f>'Z_1.1.sz.mell.'!D20</f>
        <v>0</v>
      </c>
      <c r="E20" s="106">
        <f>'Z_1.1.sz.mell.'!E20</f>
        <v>0</v>
      </c>
    </row>
    <row r="21" spans="1:5" s="181" customFormat="1" ht="12" customHeight="1" x14ac:dyDescent="0.2">
      <c r="A21" s="12" t="s">
        <v>71</v>
      </c>
      <c r="B21" s="183" t="s">
        <v>325</v>
      </c>
      <c r="C21" s="170">
        <f>'Z_1.1.sz.mell.'!C21</f>
        <v>0</v>
      </c>
      <c r="D21" s="170">
        <f>'Z_1.1.sz.mell.'!D21</f>
        <v>0</v>
      </c>
      <c r="E21" s="106">
        <f>'Z_1.1.sz.mell.'!E21</f>
        <v>0</v>
      </c>
    </row>
    <row r="22" spans="1:5" s="181" customFormat="1" ht="12" customHeight="1" x14ac:dyDescent="0.2">
      <c r="A22" s="12" t="s">
        <v>72</v>
      </c>
      <c r="B22" s="183" t="s">
        <v>326</v>
      </c>
      <c r="C22" s="170">
        <f>'Z_1.1.sz.mell.'!C22</f>
        <v>0</v>
      </c>
      <c r="D22" s="170">
        <f>'Z_1.1.sz.mell.'!D22</f>
        <v>0</v>
      </c>
      <c r="E22" s="106">
        <f>'Z_1.1.sz.mell.'!E22</f>
        <v>0</v>
      </c>
    </row>
    <row r="23" spans="1:5" s="181" customFormat="1" ht="12" customHeight="1" x14ac:dyDescent="0.2">
      <c r="A23" s="12" t="s">
        <v>73</v>
      </c>
      <c r="B23" s="183" t="s">
        <v>169</v>
      </c>
      <c r="C23" s="170">
        <f>'Z_1.1.sz.mell.'!C23</f>
        <v>8356200</v>
      </c>
      <c r="D23" s="170">
        <f>'Z_1.1.sz.mell.'!D23</f>
        <v>11374380</v>
      </c>
      <c r="E23" s="106">
        <f>'Z_1.1.sz.mell.'!E23</f>
        <v>12365299</v>
      </c>
    </row>
    <row r="24" spans="1:5" s="181" customFormat="1" ht="12" customHeight="1" thickBot="1" x14ac:dyDescent="0.25">
      <c r="A24" s="14" t="s">
        <v>80</v>
      </c>
      <c r="B24" s="114" t="s">
        <v>170</v>
      </c>
      <c r="C24" s="172">
        <f>'Z_1.1.sz.mell.'!C24</f>
        <v>0</v>
      </c>
      <c r="D24" s="172">
        <f>'Z_1.1.sz.mell.'!D24</f>
        <v>0</v>
      </c>
      <c r="E24" s="108">
        <f>'Z_1.1.sz.mell.'!E24</f>
        <v>0</v>
      </c>
    </row>
    <row r="25" spans="1:5" s="181" customFormat="1" ht="12" customHeight="1" thickBot="1" x14ac:dyDescent="0.25">
      <c r="A25" s="18" t="s">
        <v>8</v>
      </c>
      <c r="B25" s="19" t="s">
        <v>171</v>
      </c>
      <c r="C25" s="169">
        <f>'Z_1.1.sz.mell.'!C25</f>
        <v>30000000</v>
      </c>
      <c r="D25" s="169">
        <f>'Z_1.1.sz.mell.'!D25</f>
        <v>119719194</v>
      </c>
      <c r="E25" s="105">
        <f>'Z_1.1.sz.mell.'!E25</f>
        <v>89719194</v>
      </c>
    </row>
    <row r="26" spans="1:5" s="181" customFormat="1" ht="12" customHeight="1" x14ac:dyDescent="0.2">
      <c r="A26" s="13" t="s">
        <v>52</v>
      </c>
      <c r="B26" s="182" t="s">
        <v>172</v>
      </c>
      <c r="C26" s="171">
        <f>'Z_1.1.sz.mell.'!C26</f>
        <v>0</v>
      </c>
      <c r="D26" s="171">
        <f>'Z_1.1.sz.mell.'!D26</f>
        <v>0</v>
      </c>
      <c r="E26" s="107">
        <f>'Z_1.1.sz.mell.'!E26</f>
        <v>0</v>
      </c>
    </row>
    <row r="27" spans="1:5" s="181" customFormat="1" ht="12" customHeight="1" x14ac:dyDescent="0.2">
      <c r="A27" s="12" t="s">
        <v>53</v>
      </c>
      <c r="B27" s="183" t="s">
        <v>173</v>
      </c>
      <c r="C27" s="170">
        <f>'Z_1.1.sz.mell.'!C27</f>
        <v>0</v>
      </c>
      <c r="D27" s="170">
        <f>'Z_1.1.sz.mell.'!D27</f>
        <v>0</v>
      </c>
      <c r="E27" s="106">
        <f>'Z_1.1.sz.mell.'!E27</f>
        <v>0</v>
      </c>
    </row>
    <row r="28" spans="1:5" s="181" customFormat="1" ht="12" customHeight="1" x14ac:dyDescent="0.2">
      <c r="A28" s="12" t="s">
        <v>54</v>
      </c>
      <c r="B28" s="183" t="s">
        <v>327</v>
      </c>
      <c r="C28" s="170">
        <f>'Z_1.1.sz.mell.'!C28</f>
        <v>0</v>
      </c>
      <c r="D28" s="170">
        <f>'Z_1.1.sz.mell.'!D28</f>
        <v>0</v>
      </c>
      <c r="E28" s="106">
        <f>'Z_1.1.sz.mell.'!E28</f>
        <v>0</v>
      </c>
    </row>
    <row r="29" spans="1:5" s="181" customFormat="1" ht="12" customHeight="1" x14ac:dyDescent="0.2">
      <c r="A29" s="12" t="s">
        <v>55</v>
      </c>
      <c r="B29" s="183" t="s">
        <v>328</v>
      </c>
      <c r="C29" s="170">
        <f>'Z_1.1.sz.mell.'!C29</f>
        <v>0</v>
      </c>
      <c r="D29" s="170">
        <f>'Z_1.1.sz.mell.'!D29</f>
        <v>0</v>
      </c>
      <c r="E29" s="106">
        <f>'Z_1.1.sz.mell.'!E29</f>
        <v>0</v>
      </c>
    </row>
    <row r="30" spans="1:5" s="181" customFormat="1" ht="12" customHeight="1" x14ac:dyDescent="0.2">
      <c r="A30" s="12" t="s">
        <v>109</v>
      </c>
      <c r="B30" s="183" t="s">
        <v>174</v>
      </c>
      <c r="C30" s="170">
        <f>'Z_1.1.sz.mell.'!C30</f>
        <v>30000000</v>
      </c>
      <c r="D30" s="170">
        <f>'Z_1.1.sz.mell.'!D30</f>
        <v>119719194</v>
      </c>
      <c r="E30" s="106">
        <f>'Z_1.1.sz.mell.'!E30</f>
        <v>89719194</v>
      </c>
    </row>
    <row r="31" spans="1:5" s="181" customFormat="1" ht="12" customHeight="1" thickBot="1" x14ac:dyDescent="0.25">
      <c r="A31" s="14" t="s">
        <v>110</v>
      </c>
      <c r="B31" s="184" t="s">
        <v>175</v>
      </c>
      <c r="C31" s="172">
        <f>'Z_1.1.sz.mell.'!C31</f>
        <v>30000000</v>
      </c>
      <c r="D31" s="172">
        <f>'Z_1.1.sz.mell.'!D31</f>
        <v>119719194</v>
      </c>
      <c r="E31" s="108">
        <f>'Z_1.1.sz.mell.'!E31</f>
        <v>89719194</v>
      </c>
    </row>
    <row r="32" spans="1:5" s="181" customFormat="1" ht="12" customHeight="1" thickBot="1" x14ac:dyDescent="0.25">
      <c r="A32" s="18" t="s">
        <v>111</v>
      </c>
      <c r="B32" s="19" t="s">
        <v>475</v>
      </c>
      <c r="C32" s="175">
        <f>'Z_1.1.sz.mell.'!C32</f>
        <v>212960000</v>
      </c>
      <c r="D32" s="175">
        <f>'Z_1.1.sz.mell.'!D32</f>
        <v>213060000</v>
      </c>
      <c r="E32" s="211">
        <f>'Z_1.1.sz.mell.'!E32</f>
        <v>223901819</v>
      </c>
    </row>
    <row r="33" spans="1:5" s="181" customFormat="1" ht="12" customHeight="1" x14ac:dyDescent="0.2">
      <c r="A33" s="13" t="s">
        <v>176</v>
      </c>
      <c r="B33" s="182" t="str">
        <f>'Z_1.1.sz.mell.'!B33</f>
        <v>Építményadó</v>
      </c>
      <c r="C33" s="171">
        <f>'Z_1.1.sz.mell.'!C33</f>
        <v>3100000</v>
      </c>
      <c r="D33" s="171">
        <f>'Z_1.1.sz.mell.'!D33</f>
        <v>3100000</v>
      </c>
      <c r="E33" s="107">
        <f>'Z_1.1.sz.mell.'!E33</f>
        <v>3008321</v>
      </c>
    </row>
    <row r="34" spans="1:5" s="181" customFormat="1" ht="12" customHeight="1" x14ac:dyDescent="0.2">
      <c r="A34" s="12" t="s">
        <v>177</v>
      </c>
      <c r="B34" s="182" t="str">
        <f>'Z_1.1.sz.mell.'!B34</f>
        <v xml:space="preserve">Idegenforgalmi adó </v>
      </c>
      <c r="C34" s="170">
        <f>'Z_1.1.sz.mell.'!C34</f>
        <v>0</v>
      </c>
      <c r="D34" s="170">
        <f>'Z_1.1.sz.mell.'!D34</f>
        <v>0</v>
      </c>
      <c r="E34" s="106">
        <f>'Z_1.1.sz.mell.'!E34</f>
        <v>0</v>
      </c>
    </row>
    <row r="35" spans="1:5" s="181" customFormat="1" ht="12" customHeight="1" x14ac:dyDescent="0.2">
      <c r="A35" s="12" t="s">
        <v>178</v>
      </c>
      <c r="B35" s="182" t="str">
        <f>'Z_1.1.sz.mell.'!B35</f>
        <v>Iparűzési adó</v>
      </c>
      <c r="C35" s="170">
        <f>'Z_1.1.sz.mell.'!C35</f>
        <v>110000000</v>
      </c>
      <c r="D35" s="170">
        <f>'Z_1.1.sz.mell.'!D35</f>
        <v>110000000</v>
      </c>
      <c r="E35" s="106">
        <f>'Z_1.1.sz.mell.'!E35</f>
        <v>119557187</v>
      </c>
    </row>
    <row r="36" spans="1:5" s="181" customFormat="1" ht="12" customHeight="1" x14ac:dyDescent="0.2">
      <c r="A36" s="12" t="s">
        <v>179</v>
      </c>
      <c r="B36" s="182" t="str">
        <f>'Z_1.1.sz.mell.'!B36</f>
        <v>Talajterhelési díj</v>
      </c>
      <c r="C36" s="170">
        <f>'Z_1.1.sz.mell.'!C36</f>
        <v>350000</v>
      </c>
      <c r="D36" s="170">
        <f>'Z_1.1.sz.mell.'!D36</f>
        <v>350000</v>
      </c>
      <c r="E36" s="106">
        <f>'Z_1.1.sz.mell.'!E36</f>
        <v>1067520</v>
      </c>
    </row>
    <row r="37" spans="1:5" s="181" customFormat="1" ht="12" customHeight="1" x14ac:dyDescent="0.2">
      <c r="A37" s="12" t="s">
        <v>479</v>
      </c>
      <c r="B37" s="182" t="str">
        <f>'Z_1.1.sz.mell.'!B37</f>
        <v>Gépjárműadó</v>
      </c>
      <c r="C37" s="170">
        <f>'Z_1.1.sz.mell.'!C37</f>
        <v>0</v>
      </c>
      <c r="D37" s="170">
        <f>'Z_1.1.sz.mell.'!D37</f>
        <v>0</v>
      </c>
      <c r="E37" s="106">
        <f>'Z_1.1.sz.mell.'!E37</f>
        <v>0</v>
      </c>
    </row>
    <row r="38" spans="1:5" s="181" customFormat="1" ht="12" customHeight="1" x14ac:dyDescent="0.2">
      <c r="A38" s="12" t="s">
        <v>480</v>
      </c>
      <c r="B38" s="182" t="str">
        <f>'Z_1.1.sz.mell.'!B38</f>
        <v>Telekadó</v>
      </c>
      <c r="C38" s="170">
        <f>'Z_1.1.sz.mell.'!C38</f>
        <v>99000000</v>
      </c>
      <c r="D38" s="170">
        <f>'Z_1.1.sz.mell.'!D38</f>
        <v>99000000</v>
      </c>
      <c r="E38" s="106">
        <f>'Z_1.1.sz.mell.'!E38</f>
        <v>99759980</v>
      </c>
    </row>
    <row r="39" spans="1:5" s="181" customFormat="1" ht="12" customHeight="1" thickBot="1" x14ac:dyDescent="0.25">
      <c r="A39" s="14" t="s">
        <v>481</v>
      </c>
      <c r="B39" s="182" t="str">
        <f>'Z_1.1.sz.mell.'!B39</f>
        <v>Egyéb közhatalmi bevételek</v>
      </c>
      <c r="C39" s="172">
        <f>'Z_1.1.sz.mell.'!C39</f>
        <v>510000</v>
      </c>
      <c r="D39" s="172">
        <f>'Z_1.1.sz.mell.'!D39</f>
        <v>610000</v>
      </c>
      <c r="E39" s="108">
        <f>'Z_1.1.sz.mell.'!E39</f>
        <v>508811</v>
      </c>
    </row>
    <row r="40" spans="1:5" s="181" customFormat="1" ht="12" customHeight="1" thickBot="1" x14ac:dyDescent="0.25">
      <c r="A40" s="18" t="s">
        <v>10</v>
      </c>
      <c r="B40" s="19" t="s">
        <v>335</v>
      </c>
      <c r="C40" s="169">
        <f>'Z_1.1.sz.mell.'!C40</f>
        <v>56427933</v>
      </c>
      <c r="D40" s="169">
        <f>'Z_1.1.sz.mell.'!D40</f>
        <v>93760420</v>
      </c>
      <c r="E40" s="105">
        <f>'Z_1.1.sz.mell.'!E40</f>
        <v>84402367</v>
      </c>
    </row>
    <row r="41" spans="1:5" s="181" customFormat="1" ht="12" customHeight="1" x14ac:dyDescent="0.2">
      <c r="A41" s="13" t="s">
        <v>56</v>
      </c>
      <c r="B41" s="182" t="s">
        <v>183</v>
      </c>
      <c r="C41" s="171">
        <f>'Z_1.1.sz.mell.'!C41</f>
        <v>0</v>
      </c>
      <c r="D41" s="171">
        <f>'Z_1.1.sz.mell.'!D41</f>
        <v>0</v>
      </c>
      <c r="E41" s="107">
        <f>'Z_1.1.sz.mell.'!E41</f>
        <v>0</v>
      </c>
    </row>
    <row r="42" spans="1:5" s="181" customFormat="1" ht="12" customHeight="1" x14ac:dyDescent="0.2">
      <c r="A42" s="12" t="s">
        <v>57</v>
      </c>
      <c r="B42" s="183" t="s">
        <v>184</v>
      </c>
      <c r="C42" s="170">
        <f>'Z_1.1.sz.mell.'!C42</f>
        <v>15895271</v>
      </c>
      <c r="D42" s="170">
        <f>'Z_1.1.sz.mell.'!D42</f>
        <v>14157234</v>
      </c>
      <c r="E42" s="106">
        <f>'Z_1.1.sz.mell.'!E42</f>
        <v>13260118</v>
      </c>
    </row>
    <row r="43" spans="1:5" s="181" customFormat="1" ht="12" customHeight="1" x14ac:dyDescent="0.2">
      <c r="A43" s="12" t="s">
        <v>58</v>
      </c>
      <c r="B43" s="183" t="s">
        <v>185</v>
      </c>
      <c r="C43" s="170">
        <f>'Z_1.1.sz.mell.'!C43</f>
        <v>1500000</v>
      </c>
      <c r="D43" s="170">
        <f>'Z_1.1.sz.mell.'!D43</f>
        <v>2854860</v>
      </c>
      <c r="E43" s="106">
        <f>'Z_1.1.sz.mell.'!E43</f>
        <v>2801657</v>
      </c>
    </row>
    <row r="44" spans="1:5" s="181" customFormat="1" ht="12" customHeight="1" x14ac:dyDescent="0.2">
      <c r="A44" s="12" t="s">
        <v>113</v>
      </c>
      <c r="B44" s="183" t="s">
        <v>186</v>
      </c>
      <c r="C44" s="170">
        <f>'Z_1.1.sz.mell.'!C44</f>
        <v>14000000</v>
      </c>
      <c r="D44" s="170">
        <f>'Z_1.1.sz.mell.'!D44</f>
        <v>36874754</v>
      </c>
      <c r="E44" s="106">
        <f>'Z_1.1.sz.mell.'!E44</f>
        <v>33074197</v>
      </c>
    </row>
    <row r="45" spans="1:5" s="181" customFormat="1" ht="12" customHeight="1" x14ac:dyDescent="0.2">
      <c r="A45" s="12" t="s">
        <v>114</v>
      </c>
      <c r="B45" s="183" t="s">
        <v>187</v>
      </c>
      <c r="C45" s="170">
        <f>'Z_1.1.sz.mell.'!C45</f>
        <v>13323666</v>
      </c>
      <c r="D45" s="170">
        <f>'Z_1.1.sz.mell.'!D45</f>
        <v>18332185</v>
      </c>
      <c r="E45" s="106">
        <f>'Z_1.1.sz.mell.'!E45</f>
        <v>15440348</v>
      </c>
    </row>
    <row r="46" spans="1:5" s="181" customFormat="1" ht="12" customHeight="1" x14ac:dyDescent="0.2">
      <c r="A46" s="12" t="s">
        <v>115</v>
      </c>
      <c r="B46" s="183" t="s">
        <v>188</v>
      </c>
      <c r="C46" s="170">
        <f>'Z_1.1.sz.mell.'!C46</f>
        <v>11708996</v>
      </c>
      <c r="D46" s="170">
        <f>'Z_1.1.sz.mell.'!D46</f>
        <v>18549614</v>
      </c>
      <c r="E46" s="106">
        <f>'Z_1.1.sz.mell.'!E46</f>
        <v>16982009</v>
      </c>
    </row>
    <row r="47" spans="1:5" s="181" customFormat="1" ht="12" customHeight="1" x14ac:dyDescent="0.2">
      <c r="A47" s="12" t="s">
        <v>116</v>
      </c>
      <c r="B47" s="183" t="s">
        <v>189</v>
      </c>
      <c r="C47" s="170">
        <f>'Z_1.1.sz.mell.'!C47</f>
        <v>0</v>
      </c>
      <c r="D47" s="170">
        <f>'Z_1.1.sz.mell.'!D47</f>
        <v>2401000</v>
      </c>
      <c r="E47" s="106">
        <f>'Z_1.1.sz.mell.'!E47</f>
        <v>2401000</v>
      </c>
    </row>
    <row r="48" spans="1:5" s="181" customFormat="1" ht="12" customHeight="1" x14ac:dyDescent="0.2">
      <c r="A48" s="12" t="s">
        <v>117</v>
      </c>
      <c r="B48" s="183" t="s">
        <v>482</v>
      </c>
      <c r="C48" s="170">
        <f>'Z_1.1.sz.mell.'!C48</f>
        <v>0</v>
      </c>
      <c r="D48" s="170">
        <f>'Z_1.1.sz.mell.'!D48</f>
        <v>0</v>
      </c>
      <c r="E48" s="106">
        <f>'Z_1.1.sz.mell.'!E48</f>
        <v>0</v>
      </c>
    </row>
    <row r="49" spans="1:5" s="181" customFormat="1" ht="12" customHeight="1" x14ac:dyDescent="0.2">
      <c r="A49" s="12" t="s">
        <v>181</v>
      </c>
      <c r="B49" s="183" t="s">
        <v>191</v>
      </c>
      <c r="C49" s="173">
        <f>'Z_1.1.sz.mell.'!C49</f>
        <v>0</v>
      </c>
      <c r="D49" s="173">
        <f>'Z_1.1.sz.mell.'!D49</f>
        <v>42</v>
      </c>
      <c r="E49" s="109">
        <f>'Z_1.1.sz.mell.'!E49</f>
        <v>62</v>
      </c>
    </row>
    <row r="50" spans="1:5" s="181" customFormat="1" ht="12" customHeight="1" x14ac:dyDescent="0.2">
      <c r="A50" s="14" t="s">
        <v>182</v>
      </c>
      <c r="B50" s="184" t="s">
        <v>337</v>
      </c>
      <c r="C50" s="174">
        <f>'Z_1.1.sz.mell.'!C50</f>
        <v>0</v>
      </c>
      <c r="D50" s="174">
        <f>'Z_1.1.sz.mell.'!D50</f>
        <v>350000</v>
      </c>
      <c r="E50" s="110">
        <f>'Z_1.1.sz.mell.'!E50</f>
        <v>350000</v>
      </c>
    </row>
    <row r="51" spans="1:5" s="181" customFormat="1" ht="12" customHeight="1" thickBot="1" x14ac:dyDescent="0.25">
      <c r="A51" s="14" t="s">
        <v>336</v>
      </c>
      <c r="B51" s="114" t="s">
        <v>192</v>
      </c>
      <c r="C51" s="174">
        <f>'Z_1.1.sz.mell.'!C51</f>
        <v>0</v>
      </c>
      <c r="D51" s="174">
        <f>'Z_1.1.sz.mell.'!D51</f>
        <v>240731</v>
      </c>
      <c r="E51" s="110">
        <f>'Z_1.1.sz.mell.'!E51</f>
        <v>92976</v>
      </c>
    </row>
    <row r="52" spans="1:5" s="181" customFormat="1" ht="12" customHeight="1" thickBot="1" x14ac:dyDescent="0.25">
      <c r="A52" s="18" t="s">
        <v>11</v>
      </c>
      <c r="B52" s="19" t="s">
        <v>193</v>
      </c>
      <c r="C52" s="169">
        <f>'Z_1.1.sz.mell.'!C52</f>
        <v>1267716</v>
      </c>
      <c r="D52" s="169">
        <f>'Z_1.1.sz.mell.'!D52</f>
        <v>26385826</v>
      </c>
      <c r="E52" s="105">
        <f>'Z_1.1.sz.mell.'!E52</f>
        <v>11385826</v>
      </c>
    </row>
    <row r="53" spans="1:5" s="181" customFormat="1" ht="12" customHeight="1" x14ac:dyDescent="0.2">
      <c r="A53" s="13" t="s">
        <v>59</v>
      </c>
      <c r="B53" s="182" t="s">
        <v>197</v>
      </c>
      <c r="C53" s="222">
        <f>'Z_1.1.sz.mell.'!C53</f>
        <v>0</v>
      </c>
      <c r="D53" s="222">
        <f>'Z_1.1.sz.mell.'!D53</f>
        <v>0</v>
      </c>
      <c r="E53" s="111">
        <f>'Z_1.1.sz.mell.'!E53</f>
        <v>0</v>
      </c>
    </row>
    <row r="54" spans="1:5" s="181" customFormat="1" ht="12" customHeight="1" x14ac:dyDescent="0.2">
      <c r="A54" s="12" t="s">
        <v>60</v>
      </c>
      <c r="B54" s="183" t="s">
        <v>198</v>
      </c>
      <c r="C54" s="173">
        <f>'Z_1.1.sz.mell.'!C54</f>
        <v>1267716</v>
      </c>
      <c r="D54" s="173">
        <f>'Z_1.1.sz.mell.'!D54</f>
        <v>6385826</v>
      </c>
      <c r="E54" s="109">
        <f>'Z_1.1.sz.mell.'!E54</f>
        <v>6385826</v>
      </c>
    </row>
    <row r="55" spans="1:5" s="181" customFormat="1" ht="12" customHeight="1" x14ac:dyDescent="0.2">
      <c r="A55" s="12" t="s">
        <v>194</v>
      </c>
      <c r="B55" s="183" t="s">
        <v>199</v>
      </c>
      <c r="C55" s="173">
        <f>'Z_1.1.sz.mell.'!C55</f>
        <v>0</v>
      </c>
      <c r="D55" s="173">
        <f>'Z_1.1.sz.mell.'!D55</f>
        <v>0</v>
      </c>
      <c r="E55" s="109">
        <f>'Z_1.1.sz.mell.'!E55</f>
        <v>0</v>
      </c>
    </row>
    <row r="56" spans="1:5" s="181" customFormat="1" ht="12" customHeight="1" x14ac:dyDescent="0.2">
      <c r="A56" s="12" t="s">
        <v>195</v>
      </c>
      <c r="B56" s="183" t="s">
        <v>200</v>
      </c>
      <c r="C56" s="173">
        <f>'Z_1.1.sz.mell.'!C56</f>
        <v>0</v>
      </c>
      <c r="D56" s="173">
        <f>'Z_1.1.sz.mell.'!D56</f>
        <v>20000000</v>
      </c>
      <c r="E56" s="109">
        <f>'Z_1.1.sz.mell.'!E56</f>
        <v>5000000</v>
      </c>
    </row>
    <row r="57" spans="1:5" s="181" customFormat="1" ht="12" customHeight="1" thickBot="1" x14ac:dyDescent="0.25">
      <c r="A57" s="14" t="s">
        <v>196</v>
      </c>
      <c r="B57" s="114" t="s">
        <v>201</v>
      </c>
      <c r="C57" s="174">
        <f>'Z_1.1.sz.mell.'!C57</f>
        <v>0</v>
      </c>
      <c r="D57" s="174">
        <f>'Z_1.1.sz.mell.'!D57</f>
        <v>0</v>
      </c>
      <c r="E57" s="110">
        <f>'Z_1.1.sz.mell.'!E57</f>
        <v>0</v>
      </c>
    </row>
    <row r="58" spans="1:5" s="181" customFormat="1" ht="12" customHeight="1" thickBot="1" x14ac:dyDescent="0.25">
      <c r="A58" s="18" t="s">
        <v>118</v>
      </c>
      <c r="B58" s="19" t="s">
        <v>202</v>
      </c>
      <c r="C58" s="169">
        <f>'Z_1.1.sz.mell.'!C58</f>
        <v>0</v>
      </c>
      <c r="D58" s="169">
        <f>'Z_1.1.sz.mell.'!D58</f>
        <v>0</v>
      </c>
      <c r="E58" s="105">
        <f>'Z_1.1.sz.mell.'!E58</f>
        <v>370000</v>
      </c>
    </row>
    <row r="59" spans="1:5" s="181" customFormat="1" ht="12" customHeight="1" x14ac:dyDescent="0.2">
      <c r="A59" s="13" t="s">
        <v>61</v>
      </c>
      <c r="B59" s="182" t="s">
        <v>203</v>
      </c>
      <c r="C59" s="171">
        <f>'Z_1.1.sz.mell.'!C59</f>
        <v>0</v>
      </c>
      <c r="D59" s="171">
        <f>'Z_1.1.sz.mell.'!D59</f>
        <v>0</v>
      </c>
      <c r="E59" s="107">
        <f>'Z_1.1.sz.mell.'!E59</f>
        <v>0</v>
      </c>
    </row>
    <row r="60" spans="1:5" s="181" customFormat="1" ht="12" customHeight="1" x14ac:dyDescent="0.2">
      <c r="A60" s="12" t="s">
        <v>62</v>
      </c>
      <c r="B60" s="183" t="s">
        <v>329</v>
      </c>
      <c r="C60" s="170">
        <f>'Z_1.1.sz.mell.'!C60</f>
        <v>0</v>
      </c>
      <c r="D60" s="170">
        <f>'Z_1.1.sz.mell.'!D60</f>
        <v>0</v>
      </c>
      <c r="E60" s="106">
        <f>'Z_1.1.sz.mell.'!E60</f>
        <v>0</v>
      </c>
    </row>
    <row r="61" spans="1:5" s="181" customFormat="1" ht="12" customHeight="1" x14ac:dyDescent="0.2">
      <c r="A61" s="12" t="s">
        <v>206</v>
      </c>
      <c r="B61" s="183" t="s">
        <v>204</v>
      </c>
      <c r="C61" s="170">
        <f>'Z_1.1.sz.mell.'!C61</f>
        <v>0</v>
      </c>
      <c r="D61" s="170">
        <f>'Z_1.1.sz.mell.'!D61</f>
        <v>0</v>
      </c>
      <c r="E61" s="106">
        <f>'Z_1.1.sz.mell.'!E61</f>
        <v>370000</v>
      </c>
    </row>
    <row r="62" spans="1:5" s="181" customFormat="1" ht="12" customHeight="1" thickBot="1" x14ac:dyDescent="0.25">
      <c r="A62" s="14" t="s">
        <v>207</v>
      </c>
      <c r="B62" s="114" t="s">
        <v>205</v>
      </c>
      <c r="C62" s="172">
        <f>'Z_1.1.sz.mell.'!C62</f>
        <v>0</v>
      </c>
      <c r="D62" s="172">
        <f>'Z_1.1.sz.mell.'!D62</f>
        <v>0</v>
      </c>
      <c r="E62" s="108">
        <f>'Z_1.1.sz.mell.'!E62</f>
        <v>0</v>
      </c>
    </row>
    <row r="63" spans="1:5" s="181" customFormat="1" ht="12" customHeight="1" thickBot="1" x14ac:dyDescent="0.25">
      <c r="A63" s="18" t="s">
        <v>13</v>
      </c>
      <c r="B63" s="112" t="s">
        <v>208</v>
      </c>
      <c r="C63" s="169">
        <f>'Z_1.1.sz.mell.'!C63</f>
        <v>1649641</v>
      </c>
      <c r="D63" s="169">
        <f>'Z_1.1.sz.mell.'!D63</f>
        <v>1923842</v>
      </c>
      <c r="E63" s="105">
        <f>'Z_1.1.sz.mell.'!E63</f>
        <v>2042980</v>
      </c>
    </row>
    <row r="64" spans="1:5" s="181" customFormat="1" ht="12" customHeight="1" x14ac:dyDescent="0.2">
      <c r="A64" s="13" t="s">
        <v>119</v>
      </c>
      <c r="B64" s="182" t="s">
        <v>210</v>
      </c>
      <c r="C64" s="173">
        <f>'Z_1.1.sz.mell.'!C64</f>
        <v>0</v>
      </c>
      <c r="D64" s="173">
        <f>'Z_1.1.sz.mell.'!D64</f>
        <v>0</v>
      </c>
      <c r="E64" s="109">
        <f>'Z_1.1.sz.mell.'!E64</f>
        <v>0</v>
      </c>
    </row>
    <row r="65" spans="1:5" s="181" customFormat="1" ht="12" customHeight="1" x14ac:dyDescent="0.2">
      <c r="A65" s="12" t="s">
        <v>120</v>
      </c>
      <c r="B65" s="183" t="s">
        <v>330</v>
      </c>
      <c r="C65" s="173">
        <f>'Z_1.1.sz.mell.'!C65</f>
        <v>1649641</v>
      </c>
      <c r="D65" s="173">
        <f>'Z_1.1.sz.mell.'!D65</f>
        <v>1923842</v>
      </c>
      <c r="E65" s="109">
        <f>'Z_1.1.sz.mell.'!E65</f>
        <v>2042980</v>
      </c>
    </row>
    <row r="66" spans="1:5" s="181" customFormat="1" ht="12" customHeight="1" x14ac:dyDescent="0.2">
      <c r="A66" s="12" t="s">
        <v>143</v>
      </c>
      <c r="B66" s="183" t="s">
        <v>211</v>
      </c>
      <c r="C66" s="173">
        <f>'Z_1.1.sz.mell.'!C66</f>
        <v>0</v>
      </c>
      <c r="D66" s="173">
        <f>'Z_1.1.sz.mell.'!D66</f>
        <v>0</v>
      </c>
      <c r="E66" s="109">
        <f>'Z_1.1.sz.mell.'!E66</f>
        <v>0</v>
      </c>
    </row>
    <row r="67" spans="1:5" s="181" customFormat="1" ht="12" customHeight="1" thickBot="1" x14ac:dyDescent="0.25">
      <c r="A67" s="14" t="s">
        <v>209</v>
      </c>
      <c r="B67" s="114" t="s">
        <v>212</v>
      </c>
      <c r="C67" s="173">
        <f>'Z_1.1.sz.mell.'!C67</f>
        <v>0</v>
      </c>
      <c r="D67" s="173">
        <f>'Z_1.1.sz.mell.'!D67</f>
        <v>0</v>
      </c>
      <c r="E67" s="109">
        <f>'Z_1.1.sz.mell.'!E67</f>
        <v>0</v>
      </c>
    </row>
    <row r="68" spans="1:5" s="181" customFormat="1" ht="12" customHeight="1" thickBot="1" x14ac:dyDescent="0.25">
      <c r="A68" s="236" t="s">
        <v>377</v>
      </c>
      <c r="B68" s="19" t="s">
        <v>213</v>
      </c>
      <c r="C68" s="175">
        <f>'Z_1.1.sz.mell.'!C68</f>
        <v>479541179</v>
      </c>
      <c r="D68" s="175">
        <f>'Z_1.1.sz.mell.'!D68</f>
        <v>658443508</v>
      </c>
      <c r="E68" s="211">
        <f>'Z_1.1.sz.mell.'!E68</f>
        <v>616407331</v>
      </c>
    </row>
    <row r="69" spans="1:5" s="181" customFormat="1" ht="12" customHeight="1" thickBot="1" x14ac:dyDescent="0.25">
      <c r="A69" s="223" t="s">
        <v>214</v>
      </c>
      <c r="B69" s="112" t="s">
        <v>215</v>
      </c>
      <c r="C69" s="169">
        <f>'Z_1.1.sz.mell.'!C69</f>
        <v>0</v>
      </c>
      <c r="D69" s="169">
        <f>'Z_1.1.sz.mell.'!D69</f>
        <v>0</v>
      </c>
      <c r="E69" s="105">
        <f>'Z_1.1.sz.mell.'!E69</f>
        <v>0</v>
      </c>
    </row>
    <row r="70" spans="1:5" s="181" customFormat="1" ht="12" customHeight="1" x14ac:dyDescent="0.2">
      <c r="A70" s="13" t="s">
        <v>243</v>
      </c>
      <c r="B70" s="182" t="s">
        <v>216</v>
      </c>
      <c r="C70" s="173">
        <f>'Z_1.1.sz.mell.'!C70</f>
        <v>0</v>
      </c>
      <c r="D70" s="173">
        <f>'Z_1.1.sz.mell.'!D70</f>
        <v>0</v>
      </c>
      <c r="E70" s="109">
        <f>'Z_1.1.sz.mell.'!E70</f>
        <v>0</v>
      </c>
    </row>
    <row r="71" spans="1:5" s="181" customFormat="1" ht="12" customHeight="1" x14ac:dyDescent="0.2">
      <c r="A71" s="12" t="s">
        <v>252</v>
      </c>
      <c r="B71" s="183" t="s">
        <v>217</v>
      </c>
      <c r="C71" s="173">
        <f>'Z_1.1.sz.mell.'!C71</f>
        <v>0</v>
      </c>
      <c r="D71" s="173">
        <f>'Z_1.1.sz.mell.'!D71</f>
        <v>0</v>
      </c>
      <c r="E71" s="109">
        <f>'Z_1.1.sz.mell.'!E71</f>
        <v>0</v>
      </c>
    </row>
    <row r="72" spans="1:5" s="181" customFormat="1" ht="12" customHeight="1" thickBot="1" x14ac:dyDescent="0.25">
      <c r="A72" s="14" t="s">
        <v>253</v>
      </c>
      <c r="B72" s="232" t="s">
        <v>362</v>
      </c>
      <c r="C72" s="173">
        <f>'Z_1.1.sz.mell.'!C72</f>
        <v>0</v>
      </c>
      <c r="D72" s="173">
        <f>'Z_1.1.sz.mell.'!D72</f>
        <v>0</v>
      </c>
      <c r="E72" s="109">
        <f>'Z_1.1.sz.mell.'!E72</f>
        <v>0</v>
      </c>
    </row>
    <row r="73" spans="1:5" s="181" customFormat="1" ht="12" customHeight="1" thickBot="1" x14ac:dyDescent="0.25">
      <c r="A73" s="223" t="s">
        <v>219</v>
      </c>
      <c r="B73" s="112" t="s">
        <v>220</v>
      </c>
      <c r="C73" s="169">
        <f>'Z_1.1.sz.mell.'!C73</f>
        <v>20000000</v>
      </c>
      <c r="D73" s="169">
        <f>'Z_1.1.sz.mell.'!D73</f>
        <v>0</v>
      </c>
      <c r="E73" s="105">
        <f>'Z_1.1.sz.mell.'!E73</f>
        <v>0</v>
      </c>
    </row>
    <row r="74" spans="1:5" s="181" customFormat="1" ht="12" customHeight="1" x14ac:dyDescent="0.2">
      <c r="A74" s="13" t="s">
        <v>97</v>
      </c>
      <c r="B74" s="311" t="s">
        <v>221</v>
      </c>
      <c r="C74" s="173">
        <f>'Z_1.1.sz.mell.'!C74</f>
        <v>20000000</v>
      </c>
      <c r="D74" s="173">
        <f>'Z_1.1.sz.mell.'!D74</f>
        <v>0</v>
      </c>
      <c r="E74" s="109">
        <f>'Z_1.1.sz.mell.'!E74</f>
        <v>0</v>
      </c>
    </row>
    <row r="75" spans="1:5" s="181" customFormat="1" ht="12" customHeight="1" x14ac:dyDescent="0.2">
      <c r="A75" s="12" t="s">
        <v>98</v>
      </c>
      <c r="B75" s="311" t="s">
        <v>489</v>
      </c>
      <c r="C75" s="173">
        <f>'Z_1.1.sz.mell.'!C75</f>
        <v>0</v>
      </c>
      <c r="D75" s="173">
        <f>'Z_1.1.sz.mell.'!D75</f>
        <v>0</v>
      </c>
      <c r="E75" s="109">
        <f>'Z_1.1.sz.mell.'!E75</f>
        <v>0</v>
      </c>
    </row>
    <row r="76" spans="1:5" s="181" customFormat="1" ht="12" customHeight="1" x14ac:dyDescent="0.2">
      <c r="A76" s="12" t="s">
        <v>244</v>
      </c>
      <c r="B76" s="311" t="s">
        <v>222</v>
      </c>
      <c r="C76" s="173">
        <f>'Z_1.1.sz.mell.'!C76</f>
        <v>0</v>
      </c>
      <c r="D76" s="173">
        <f>'Z_1.1.sz.mell.'!D76</f>
        <v>0</v>
      </c>
      <c r="E76" s="109">
        <f>'Z_1.1.sz.mell.'!E76</f>
        <v>0</v>
      </c>
    </row>
    <row r="77" spans="1:5" s="181" customFormat="1" ht="12" customHeight="1" thickBot="1" x14ac:dyDescent="0.25">
      <c r="A77" s="14" t="s">
        <v>245</v>
      </c>
      <c r="B77" s="312" t="s">
        <v>490</v>
      </c>
      <c r="C77" s="173">
        <f>'Z_1.1.sz.mell.'!C77</f>
        <v>0</v>
      </c>
      <c r="D77" s="173">
        <f>'Z_1.1.sz.mell.'!D77</f>
        <v>0</v>
      </c>
      <c r="E77" s="109">
        <f>'Z_1.1.sz.mell.'!E77</f>
        <v>0</v>
      </c>
    </row>
    <row r="78" spans="1:5" s="181" customFormat="1" ht="12" customHeight="1" thickBot="1" x14ac:dyDescent="0.25">
      <c r="A78" s="223" t="s">
        <v>223</v>
      </c>
      <c r="B78" s="112" t="s">
        <v>224</v>
      </c>
      <c r="C78" s="169">
        <f>'Z_1.1.sz.mell.'!C78</f>
        <v>162743567</v>
      </c>
      <c r="D78" s="169">
        <f>'Z_1.1.sz.mell.'!D78</f>
        <v>165080644</v>
      </c>
      <c r="E78" s="105">
        <f>'Z_1.1.sz.mell.'!E78</f>
        <v>165080644</v>
      </c>
    </row>
    <row r="79" spans="1:5" s="181" customFormat="1" ht="12" customHeight="1" x14ac:dyDescent="0.2">
      <c r="A79" s="13" t="s">
        <v>246</v>
      </c>
      <c r="B79" s="182" t="s">
        <v>225</v>
      </c>
      <c r="C79" s="173">
        <f>'Z_1.1.sz.mell.'!C79</f>
        <v>162743567</v>
      </c>
      <c r="D79" s="173">
        <f>'Z_1.1.sz.mell.'!D79</f>
        <v>165080644</v>
      </c>
      <c r="E79" s="109">
        <f>'Z_1.1.sz.mell.'!E79</f>
        <v>165080644</v>
      </c>
    </row>
    <row r="80" spans="1:5" s="181" customFormat="1" ht="12" customHeight="1" thickBot="1" x14ac:dyDescent="0.25">
      <c r="A80" s="14" t="s">
        <v>247</v>
      </c>
      <c r="B80" s="114" t="s">
        <v>226</v>
      </c>
      <c r="C80" s="173">
        <f>'Z_1.1.sz.mell.'!C80</f>
        <v>0</v>
      </c>
      <c r="D80" s="173">
        <f>'Z_1.1.sz.mell.'!D80</f>
        <v>0</v>
      </c>
      <c r="E80" s="109">
        <f>'Z_1.1.sz.mell.'!E80</f>
        <v>0</v>
      </c>
    </row>
    <row r="81" spans="1:5" s="181" customFormat="1" ht="12" customHeight="1" thickBot="1" x14ac:dyDescent="0.25">
      <c r="A81" s="223" t="s">
        <v>227</v>
      </c>
      <c r="B81" s="112" t="s">
        <v>228</v>
      </c>
      <c r="C81" s="169">
        <f>'Z_1.1.sz.mell.'!C81</f>
        <v>0</v>
      </c>
      <c r="D81" s="169">
        <f>'Z_1.1.sz.mell.'!D81</f>
        <v>554674</v>
      </c>
      <c r="E81" s="105">
        <f>'Z_1.1.sz.mell.'!E81</f>
        <v>7640915</v>
      </c>
    </row>
    <row r="82" spans="1:5" s="181" customFormat="1" ht="12" customHeight="1" x14ac:dyDescent="0.2">
      <c r="A82" s="13" t="s">
        <v>248</v>
      </c>
      <c r="B82" s="182" t="s">
        <v>229</v>
      </c>
      <c r="C82" s="173">
        <f>'Z_1.1.sz.mell.'!C82</f>
        <v>0</v>
      </c>
      <c r="D82" s="173">
        <f>'Z_1.1.sz.mell.'!D82</f>
        <v>554674</v>
      </c>
      <c r="E82" s="109">
        <f>'Z_1.1.sz.mell.'!E82</f>
        <v>7640915</v>
      </c>
    </row>
    <row r="83" spans="1:5" s="181" customFormat="1" ht="12" customHeight="1" x14ac:dyDescent="0.2">
      <c r="A83" s="12" t="s">
        <v>249</v>
      </c>
      <c r="B83" s="183" t="s">
        <v>230</v>
      </c>
      <c r="C83" s="173">
        <f>'Z_1.1.sz.mell.'!C83</f>
        <v>0</v>
      </c>
      <c r="D83" s="173">
        <f>'Z_1.1.sz.mell.'!D83</f>
        <v>0</v>
      </c>
      <c r="E83" s="109">
        <f>'Z_1.1.sz.mell.'!E83</f>
        <v>0</v>
      </c>
    </row>
    <row r="84" spans="1:5" s="181" customFormat="1" ht="12" customHeight="1" thickBot="1" x14ac:dyDescent="0.25">
      <c r="A84" s="14" t="s">
        <v>250</v>
      </c>
      <c r="B84" s="114" t="s">
        <v>491</v>
      </c>
      <c r="C84" s="173">
        <f>'Z_1.1.sz.mell.'!C84</f>
        <v>0</v>
      </c>
      <c r="D84" s="173">
        <f>'Z_1.1.sz.mell.'!D84</f>
        <v>0</v>
      </c>
      <c r="E84" s="109">
        <f>'Z_1.1.sz.mell.'!E84</f>
        <v>0</v>
      </c>
    </row>
    <row r="85" spans="1:5" s="181" customFormat="1" ht="12" customHeight="1" thickBot="1" x14ac:dyDescent="0.25">
      <c r="A85" s="223" t="s">
        <v>231</v>
      </c>
      <c r="B85" s="112" t="s">
        <v>251</v>
      </c>
      <c r="C85" s="169">
        <f>'Z_1.1.sz.mell.'!C85</f>
        <v>0</v>
      </c>
      <c r="D85" s="169">
        <f>'Z_1.1.sz.mell.'!D85</f>
        <v>0</v>
      </c>
      <c r="E85" s="105">
        <f>'Z_1.1.sz.mell.'!E85</f>
        <v>0</v>
      </c>
    </row>
    <row r="86" spans="1:5" s="181" customFormat="1" ht="12" customHeight="1" x14ac:dyDescent="0.2">
      <c r="A86" s="186" t="s">
        <v>232</v>
      </c>
      <c r="B86" s="182" t="s">
        <v>233</v>
      </c>
      <c r="C86" s="173">
        <f>'Z_1.1.sz.mell.'!C86</f>
        <v>0</v>
      </c>
      <c r="D86" s="173">
        <f>'Z_1.1.sz.mell.'!D86</f>
        <v>0</v>
      </c>
      <c r="E86" s="109">
        <f>'Z_1.1.sz.mell.'!E86</f>
        <v>0</v>
      </c>
    </row>
    <row r="87" spans="1:5" s="181" customFormat="1" ht="12" customHeight="1" x14ac:dyDescent="0.2">
      <c r="A87" s="187" t="s">
        <v>234</v>
      </c>
      <c r="B87" s="183" t="s">
        <v>235</v>
      </c>
      <c r="C87" s="173">
        <f>'Z_1.1.sz.mell.'!C87</f>
        <v>0</v>
      </c>
      <c r="D87" s="173">
        <f>'Z_1.1.sz.mell.'!D87</f>
        <v>0</v>
      </c>
      <c r="E87" s="109">
        <f>'Z_1.1.sz.mell.'!E87</f>
        <v>0</v>
      </c>
    </row>
    <row r="88" spans="1:5" s="181" customFormat="1" ht="12" customHeight="1" x14ac:dyDescent="0.2">
      <c r="A88" s="187" t="s">
        <v>236</v>
      </c>
      <c r="B88" s="183" t="s">
        <v>237</v>
      </c>
      <c r="C88" s="173">
        <f>'Z_1.1.sz.mell.'!C88</f>
        <v>0</v>
      </c>
      <c r="D88" s="173">
        <f>'Z_1.1.sz.mell.'!D88</f>
        <v>0</v>
      </c>
      <c r="E88" s="109">
        <f>'Z_1.1.sz.mell.'!E88</f>
        <v>0</v>
      </c>
    </row>
    <row r="89" spans="1:5" s="181" customFormat="1" ht="12" customHeight="1" thickBot="1" x14ac:dyDescent="0.25">
      <c r="A89" s="188" t="s">
        <v>238</v>
      </c>
      <c r="B89" s="114" t="s">
        <v>239</v>
      </c>
      <c r="C89" s="173">
        <f>'Z_1.1.sz.mell.'!C89</f>
        <v>0</v>
      </c>
      <c r="D89" s="173">
        <f>'Z_1.1.sz.mell.'!D89</f>
        <v>0</v>
      </c>
      <c r="E89" s="109">
        <f>'Z_1.1.sz.mell.'!E89</f>
        <v>0</v>
      </c>
    </row>
    <row r="90" spans="1:5" s="181" customFormat="1" ht="12" customHeight="1" thickBot="1" x14ac:dyDescent="0.25">
      <c r="A90" s="223" t="s">
        <v>240</v>
      </c>
      <c r="B90" s="112" t="s">
        <v>376</v>
      </c>
      <c r="C90" s="225">
        <f>'Z_1.1.sz.mell.'!C90</f>
        <v>0</v>
      </c>
      <c r="D90" s="225">
        <f>'Z_1.1.sz.mell.'!D90</f>
        <v>0</v>
      </c>
      <c r="E90" s="226">
        <f>'Z_1.1.sz.mell.'!E90</f>
        <v>0</v>
      </c>
    </row>
    <row r="91" spans="1:5" s="181" customFormat="1" ht="13.5" customHeight="1" thickBot="1" x14ac:dyDescent="0.25">
      <c r="A91" s="223" t="s">
        <v>242</v>
      </c>
      <c r="B91" s="112" t="s">
        <v>241</v>
      </c>
      <c r="C91" s="225">
        <f>'Z_1.1.sz.mell.'!C91</f>
        <v>0</v>
      </c>
      <c r="D91" s="225">
        <f>'Z_1.1.sz.mell.'!D91</f>
        <v>0</v>
      </c>
      <c r="E91" s="226">
        <f>'Z_1.1.sz.mell.'!E91</f>
        <v>0</v>
      </c>
    </row>
    <row r="92" spans="1:5" s="181" customFormat="1" ht="15.75" customHeight="1" thickBot="1" x14ac:dyDescent="0.25">
      <c r="A92" s="223" t="s">
        <v>254</v>
      </c>
      <c r="B92" s="189" t="s">
        <v>379</v>
      </c>
      <c r="C92" s="175">
        <f>'Z_1.1.sz.mell.'!C92</f>
        <v>182743567</v>
      </c>
      <c r="D92" s="175">
        <f>'Z_1.1.sz.mell.'!D92</f>
        <v>165635318</v>
      </c>
      <c r="E92" s="211">
        <f>'Z_1.1.sz.mell.'!E92</f>
        <v>172721559</v>
      </c>
    </row>
    <row r="93" spans="1:5" s="181" customFormat="1" ht="25.5" customHeight="1" thickBot="1" x14ac:dyDescent="0.25">
      <c r="A93" s="224" t="s">
        <v>378</v>
      </c>
      <c r="B93" s="190" t="s">
        <v>380</v>
      </c>
      <c r="C93" s="175">
        <f>'Z_1.1.sz.mell.'!C93</f>
        <v>662284746</v>
      </c>
      <c r="D93" s="175">
        <f>'Z_1.1.sz.mell.'!D93</f>
        <v>824078826</v>
      </c>
      <c r="E93" s="211">
        <f>'Z_1.1.sz.mell.'!E93</f>
        <v>789128890</v>
      </c>
    </row>
    <row r="94" spans="1:5" s="181" customFormat="1" ht="15.2" customHeight="1" x14ac:dyDescent="0.2">
      <c r="A94" s="3"/>
      <c r="B94" s="4"/>
      <c r="C94" s="116"/>
    </row>
    <row r="95" spans="1:5" ht="16.5" customHeight="1" x14ac:dyDescent="0.25">
      <c r="A95" s="829" t="s">
        <v>34</v>
      </c>
      <c r="B95" s="829"/>
      <c r="C95" s="829"/>
      <c r="D95" s="829"/>
      <c r="E95" s="829"/>
    </row>
    <row r="96" spans="1:5" s="191" customFormat="1" ht="16.5" customHeight="1" thickBot="1" x14ac:dyDescent="0.3">
      <c r="A96" s="831" t="s">
        <v>100</v>
      </c>
      <c r="B96" s="831"/>
      <c r="C96" s="63"/>
      <c r="E96" s="63" t="str">
        <f>E7</f>
        <v xml:space="preserve"> Forintban!</v>
      </c>
    </row>
    <row r="97" spans="1:5" x14ac:dyDescent="0.25">
      <c r="A97" s="820" t="s">
        <v>51</v>
      </c>
      <c r="B97" s="822" t="s">
        <v>420</v>
      </c>
      <c r="C97" s="824" t="str">
        <f>+CONCATENATE(LEFT(Z_ÖSSZEFÜGGÉSEK!A6,4),". évi")</f>
        <v>2021. évi</v>
      </c>
      <c r="D97" s="825"/>
      <c r="E97" s="826"/>
    </row>
    <row r="98" spans="1:5" ht="24.75" thickBot="1" x14ac:dyDescent="0.3">
      <c r="A98" s="821"/>
      <c r="B98" s="823"/>
      <c r="C98" s="253" t="s">
        <v>418</v>
      </c>
      <c r="D98" s="252" t="s">
        <v>419</v>
      </c>
      <c r="E98" s="313" t="str">
        <f>CONCATENATE(E9)</f>
        <v>2021. XII. 31.
teljesítés</v>
      </c>
    </row>
    <row r="99" spans="1:5" s="180" customFormat="1" ht="12" customHeight="1" thickBot="1" x14ac:dyDescent="0.25">
      <c r="A99" s="25" t="s">
        <v>385</v>
      </c>
      <c r="B99" s="26" t="s">
        <v>386</v>
      </c>
      <c r="C99" s="26" t="s">
        <v>387</v>
      </c>
      <c r="D99" s="26" t="s">
        <v>389</v>
      </c>
      <c r="E99" s="264" t="s">
        <v>388</v>
      </c>
    </row>
    <row r="100" spans="1:5" ht="12" customHeight="1" thickBot="1" x14ac:dyDescent="0.3">
      <c r="A100" s="20" t="s">
        <v>6</v>
      </c>
      <c r="B100" s="24" t="s">
        <v>338</v>
      </c>
      <c r="C100" s="168">
        <f>'Z_1.1.sz.mell.'!C100</f>
        <v>527038642</v>
      </c>
      <c r="D100" s="168">
        <f>'Z_1.1.sz.mell.'!D100</f>
        <v>570614658</v>
      </c>
      <c r="E100" s="239">
        <f>'Z_1.1.sz.mell.'!E100</f>
        <v>516600178</v>
      </c>
    </row>
    <row r="101" spans="1:5" ht="12" customHeight="1" x14ac:dyDescent="0.25">
      <c r="A101" s="15" t="s">
        <v>63</v>
      </c>
      <c r="B101" s="8" t="s">
        <v>35</v>
      </c>
      <c r="C101" s="246">
        <f>'Z_1.1.sz.mell.'!C101</f>
        <v>190005619</v>
      </c>
      <c r="D101" s="246">
        <f>'Z_1.1.sz.mell.'!D101</f>
        <v>209070783</v>
      </c>
      <c r="E101" s="240">
        <f>'Z_1.1.sz.mell.'!E101</f>
        <v>197439245</v>
      </c>
    </row>
    <row r="102" spans="1:5" ht="12" customHeight="1" x14ac:dyDescent="0.25">
      <c r="A102" s="12" t="s">
        <v>64</v>
      </c>
      <c r="B102" s="6" t="s">
        <v>121</v>
      </c>
      <c r="C102" s="170">
        <f>'Z_1.1.sz.mell.'!C102</f>
        <v>32318032</v>
      </c>
      <c r="D102" s="170">
        <f>'Z_1.1.sz.mell.'!D102</f>
        <v>34633394</v>
      </c>
      <c r="E102" s="106">
        <f>'Z_1.1.sz.mell.'!E102</f>
        <v>30009650</v>
      </c>
    </row>
    <row r="103" spans="1:5" ht="12" customHeight="1" x14ac:dyDescent="0.25">
      <c r="A103" s="12" t="s">
        <v>65</v>
      </c>
      <c r="B103" s="6" t="s">
        <v>89</v>
      </c>
      <c r="C103" s="172">
        <f>'Z_1.1.sz.mell.'!C103</f>
        <v>197853933</v>
      </c>
      <c r="D103" s="172">
        <f>'Z_1.1.sz.mell.'!D103</f>
        <v>215705711</v>
      </c>
      <c r="E103" s="108">
        <f>'Z_1.1.sz.mell.'!E103</f>
        <v>191010825</v>
      </c>
    </row>
    <row r="104" spans="1:5" ht="12" customHeight="1" x14ac:dyDescent="0.25">
      <c r="A104" s="12" t="s">
        <v>66</v>
      </c>
      <c r="B104" s="9" t="s">
        <v>122</v>
      </c>
      <c r="C104" s="172">
        <f>'Z_1.1.sz.mell.'!C104</f>
        <v>12550000</v>
      </c>
      <c r="D104" s="172">
        <f>'Z_1.1.sz.mell.'!D104</f>
        <v>12550000</v>
      </c>
      <c r="E104" s="108">
        <f>'Z_1.1.sz.mell.'!E104</f>
        <v>10715288</v>
      </c>
    </row>
    <row r="105" spans="1:5" ht="12" customHeight="1" x14ac:dyDescent="0.25">
      <c r="A105" s="12" t="s">
        <v>75</v>
      </c>
      <c r="B105" s="17" t="s">
        <v>123</v>
      </c>
      <c r="C105" s="172">
        <f>'Z_1.1.sz.mell.'!C105</f>
        <v>84311058</v>
      </c>
      <c r="D105" s="172">
        <f>'Z_1.1.sz.mell.'!D105</f>
        <v>91431807</v>
      </c>
      <c r="E105" s="108">
        <f>'Z_1.1.sz.mell.'!E105</f>
        <v>87425170</v>
      </c>
    </row>
    <row r="106" spans="1:5" ht="12" customHeight="1" x14ac:dyDescent="0.25">
      <c r="A106" s="12" t="s">
        <v>67</v>
      </c>
      <c r="B106" s="6" t="s">
        <v>343</v>
      </c>
      <c r="C106" s="172">
        <f>'Z_1.1.sz.mell.'!C106</f>
        <v>0</v>
      </c>
      <c r="D106" s="172">
        <f>'Z_1.1.sz.mell.'!D106</f>
        <v>873299</v>
      </c>
      <c r="E106" s="108">
        <f>'Z_1.1.sz.mell.'!E106</f>
        <v>873299</v>
      </c>
    </row>
    <row r="107" spans="1:5" ht="12" customHeight="1" x14ac:dyDescent="0.25">
      <c r="A107" s="12" t="s">
        <v>68</v>
      </c>
      <c r="B107" s="67" t="s">
        <v>342</v>
      </c>
      <c r="C107" s="172">
        <f>'Z_1.1.sz.mell.'!C107</f>
        <v>18547030</v>
      </c>
      <c r="D107" s="172">
        <f>'Z_1.1.sz.mell.'!D107</f>
        <v>18547030</v>
      </c>
      <c r="E107" s="108">
        <f>'Z_1.1.sz.mell.'!E107</f>
        <v>18547030</v>
      </c>
    </row>
    <row r="108" spans="1:5" ht="12" customHeight="1" x14ac:dyDescent="0.25">
      <c r="A108" s="12" t="s">
        <v>76</v>
      </c>
      <c r="B108" s="67" t="s">
        <v>341</v>
      </c>
      <c r="C108" s="172">
        <f>'Z_1.1.sz.mell.'!C108</f>
        <v>0</v>
      </c>
      <c r="D108" s="172">
        <f>'Z_1.1.sz.mell.'!D108</f>
        <v>0</v>
      </c>
      <c r="E108" s="108">
        <f>'Z_1.1.sz.mell.'!E108</f>
        <v>0</v>
      </c>
    </row>
    <row r="109" spans="1:5" ht="12" customHeight="1" x14ac:dyDescent="0.25">
      <c r="A109" s="12" t="s">
        <v>77</v>
      </c>
      <c r="B109" s="65" t="s">
        <v>257</v>
      </c>
      <c r="C109" s="172">
        <f>'Z_1.1.sz.mell.'!C109</f>
        <v>0</v>
      </c>
      <c r="D109" s="172">
        <f>'Z_1.1.sz.mell.'!D109</f>
        <v>0</v>
      </c>
      <c r="E109" s="108">
        <f>'Z_1.1.sz.mell.'!E109</f>
        <v>0</v>
      </c>
    </row>
    <row r="110" spans="1:5" ht="12" customHeight="1" x14ac:dyDescent="0.25">
      <c r="A110" s="12" t="s">
        <v>78</v>
      </c>
      <c r="B110" s="66" t="s">
        <v>258</v>
      </c>
      <c r="C110" s="172">
        <f>'Z_1.1.sz.mell.'!C110</f>
        <v>0</v>
      </c>
      <c r="D110" s="172">
        <f>'Z_1.1.sz.mell.'!D110</f>
        <v>0</v>
      </c>
      <c r="E110" s="108">
        <f>'Z_1.1.sz.mell.'!E110</f>
        <v>0</v>
      </c>
    </row>
    <row r="111" spans="1:5" ht="12" customHeight="1" x14ac:dyDescent="0.25">
      <c r="A111" s="12" t="s">
        <v>79</v>
      </c>
      <c r="B111" s="66" t="s">
        <v>259</v>
      </c>
      <c r="C111" s="172">
        <f>'Z_1.1.sz.mell.'!C111</f>
        <v>0</v>
      </c>
      <c r="D111" s="172">
        <f>'Z_1.1.sz.mell.'!D111</f>
        <v>0</v>
      </c>
      <c r="E111" s="108">
        <f>'Z_1.1.sz.mell.'!E111</f>
        <v>0</v>
      </c>
    </row>
    <row r="112" spans="1:5" ht="12" customHeight="1" x14ac:dyDescent="0.25">
      <c r="A112" s="12" t="s">
        <v>81</v>
      </c>
      <c r="B112" s="65" t="s">
        <v>260</v>
      </c>
      <c r="C112" s="172">
        <f>'Z_1.1.sz.mell.'!C112</f>
        <v>4841212</v>
      </c>
      <c r="D112" s="172">
        <f>'Z_1.1.sz.mell.'!D112</f>
        <v>6041212</v>
      </c>
      <c r="E112" s="108">
        <f>'Z_1.1.sz.mell.'!E112</f>
        <v>5806707</v>
      </c>
    </row>
    <row r="113" spans="1:5" ht="12" customHeight="1" x14ac:dyDescent="0.25">
      <c r="A113" s="12" t="s">
        <v>124</v>
      </c>
      <c r="B113" s="65" t="s">
        <v>261</v>
      </c>
      <c r="C113" s="172">
        <f>'Z_1.1.sz.mell.'!C113</f>
        <v>0</v>
      </c>
      <c r="D113" s="172">
        <f>'Z_1.1.sz.mell.'!D113</f>
        <v>0</v>
      </c>
      <c r="E113" s="108">
        <f>'Z_1.1.sz.mell.'!E113</f>
        <v>0</v>
      </c>
    </row>
    <row r="114" spans="1:5" ht="12" customHeight="1" x14ac:dyDescent="0.25">
      <c r="A114" s="12" t="s">
        <v>255</v>
      </c>
      <c r="B114" s="66" t="s">
        <v>262</v>
      </c>
      <c r="C114" s="172">
        <f>'Z_1.1.sz.mell.'!C114</f>
        <v>0</v>
      </c>
      <c r="D114" s="172">
        <f>'Z_1.1.sz.mell.'!D114</f>
        <v>0</v>
      </c>
      <c r="E114" s="108">
        <f>'Z_1.1.sz.mell.'!E114</f>
        <v>0</v>
      </c>
    </row>
    <row r="115" spans="1:5" ht="12" customHeight="1" x14ac:dyDescent="0.25">
      <c r="A115" s="11" t="s">
        <v>256</v>
      </c>
      <c r="B115" s="67" t="s">
        <v>263</v>
      </c>
      <c r="C115" s="172">
        <f>'Z_1.1.sz.mell.'!C115</f>
        <v>0</v>
      </c>
      <c r="D115" s="172">
        <f>'Z_1.1.sz.mell.'!D115</f>
        <v>0</v>
      </c>
      <c r="E115" s="108">
        <f>'Z_1.1.sz.mell.'!E115</f>
        <v>0</v>
      </c>
    </row>
    <row r="116" spans="1:5" ht="12" customHeight="1" x14ac:dyDescent="0.25">
      <c r="A116" s="12" t="s">
        <v>339</v>
      </c>
      <c r="B116" s="67" t="s">
        <v>264</v>
      </c>
      <c r="C116" s="172">
        <f>'Z_1.1.sz.mell.'!C116</f>
        <v>0</v>
      </c>
      <c r="D116" s="172">
        <f>'Z_1.1.sz.mell.'!D116</f>
        <v>0</v>
      </c>
      <c r="E116" s="108">
        <f>'Z_1.1.sz.mell.'!E116</f>
        <v>0</v>
      </c>
    </row>
    <row r="117" spans="1:5" ht="12" customHeight="1" x14ac:dyDescent="0.25">
      <c r="A117" s="14" t="s">
        <v>340</v>
      </c>
      <c r="B117" s="67" t="s">
        <v>265</v>
      </c>
      <c r="C117" s="172">
        <f>'Z_1.1.sz.mell.'!C117</f>
        <v>60922816</v>
      </c>
      <c r="D117" s="172">
        <f>'Z_1.1.sz.mell.'!D117</f>
        <v>65970266</v>
      </c>
      <c r="E117" s="108">
        <f>'Z_1.1.sz.mell.'!E117</f>
        <v>62198134</v>
      </c>
    </row>
    <row r="118" spans="1:5" ht="12" customHeight="1" x14ac:dyDescent="0.25">
      <c r="A118" s="12" t="s">
        <v>344</v>
      </c>
      <c r="B118" s="9" t="s">
        <v>36</v>
      </c>
      <c r="C118" s="170">
        <f>'Z_1.1.sz.mell.'!C118</f>
        <v>10000000</v>
      </c>
      <c r="D118" s="170">
        <f>'Z_1.1.sz.mell.'!D118</f>
        <v>7222963</v>
      </c>
      <c r="E118" s="106">
        <f>'Z_1.1.sz.mell.'!E118</f>
        <v>0</v>
      </c>
    </row>
    <row r="119" spans="1:5" ht="12" customHeight="1" x14ac:dyDescent="0.25">
      <c r="A119" s="12" t="s">
        <v>345</v>
      </c>
      <c r="B119" s="6" t="s">
        <v>347</v>
      </c>
      <c r="C119" s="170">
        <f>'Z_1.1.sz.mell.'!C119</f>
        <v>8000000</v>
      </c>
      <c r="D119" s="170">
        <f>'Z_1.1.sz.mell.'!D119</f>
        <v>6722963</v>
      </c>
      <c r="E119" s="106">
        <f>'Z_1.1.sz.mell.'!E119</f>
        <v>0</v>
      </c>
    </row>
    <row r="120" spans="1:5" ht="12" customHeight="1" thickBot="1" x14ac:dyDescent="0.3">
      <c r="A120" s="16" t="s">
        <v>346</v>
      </c>
      <c r="B120" s="235" t="s">
        <v>348</v>
      </c>
      <c r="C120" s="247">
        <f>'Z_1.1.sz.mell.'!C120</f>
        <v>2000000</v>
      </c>
      <c r="D120" s="247">
        <f>'Z_1.1.sz.mell.'!D120</f>
        <v>500000</v>
      </c>
      <c r="E120" s="241">
        <f>'Z_1.1.sz.mell.'!E120</f>
        <v>0</v>
      </c>
    </row>
    <row r="121" spans="1:5" ht="12" customHeight="1" thickBot="1" x14ac:dyDescent="0.3">
      <c r="A121" s="233" t="s">
        <v>7</v>
      </c>
      <c r="B121" s="234" t="s">
        <v>266</v>
      </c>
      <c r="C121" s="248">
        <f>'Z_1.1.sz.mell.'!C121</f>
        <v>128490915</v>
      </c>
      <c r="D121" s="169">
        <f>'Z_1.1.sz.mell.'!D121</f>
        <v>246154305</v>
      </c>
      <c r="E121" s="242">
        <f>'Z_1.1.sz.mell.'!E121</f>
        <v>153983272</v>
      </c>
    </row>
    <row r="122" spans="1:5" ht="12" customHeight="1" x14ac:dyDescent="0.25">
      <c r="A122" s="13" t="s">
        <v>69</v>
      </c>
      <c r="B122" s="6" t="s">
        <v>142</v>
      </c>
      <c r="C122" s="171">
        <f>'Z_1.1.sz.mell.'!C122</f>
        <v>33380818</v>
      </c>
      <c r="D122" s="257">
        <f>'Z_1.1.sz.mell.'!D122</f>
        <v>25784466</v>
      </c>
      <c r="E122" s="107">
        <f>'Z_1.1.sz.mell.'!E122</f>
        <v>23574143</v>
      </c>
    </row>
    <row r="123" spans="1:5" ht="12" customHeight="1" x14ac:dyDescent="0.25">
      <c r="A123" s="13" t="s">
        <v>70</v>
      </c>
      <c r="B123" s="10" t="s">
        <v>270</v>
      </c>
      <c r="C123" s="171">
        <f>'Z_1.1.sz.mell.'!C123</f>
        <v>0</v>
      </c>
      <c r="D123" s="257">
        <f>'Z_1.1.sz.mell.'!D123</f>
        <v>8509200</v>
      </c>
      <c r="E123" s="107">
        <f>'Z_1.1.sz.mell.'!E123</f>
        <v>8509200</v>
      </c>
    </row>
    <row r="124" spans="1:5" ht="12" customHeight="1" x14ac:dyDescent="0.25">
      <c r="A124" s="13" t="s">
        <v>71</v>
      </c>
      <c r="B124" s="10" t="s">
        <v>125</v>
      </c>
      <c r="C124" s="170">
        <f>'Z_1.1.sz.mell.'!C124</f>
        <v>95110097</v>
      </c>
      <c r="D124" s="258">
        <f>'Z_1.1.sz.mell.'!D124</f>
        <v>216026421</v>
      </c>
      <c r="E124" s="106">
        <f>'Z_1.1.sz.mell.'!E124</f>
        <v>126065711</v>
      </c>
    </row>
    <row r="125" spans="1:5" ht="12" customHeight="1" x14ac:dyDescent="0.25">
      <c r="A125" s="13" t="s">
        <v>72</v>
      </c>
      <c r="B125" s="10" t="s">
        <v>271</v>
      </c>
      <c r="C125" s="170">
        <f>'Z_1.1.sz.mell.'!C125</f>
        <v>87833480</v>
      </c>
      <c r="D125" s="258">
        <f>'Z_1.1.sz.mell.'!D125</f>
        <v>184833480</v>
      </c>
      <c r="E125" s="106">
        <f>'Z_1.1.sz.mell.'!E125</f>
        <v>121637168</v>
      </c>
    </row>
    <row r="126" spans="1:5" ht="12" customHeight="1" x14ac:dyDescent="0.25">
      <c r="A126" s="13" t="s">
        <v>73</v>
      </c>
      <c r="B126" s="114" t="s">
        <v>144</v>
      </c>
      <c r="C126" s="170">
        <f>'Z_1.1.sz.mell.'!C126</f>
        <v>0</v>
      </c>
      <c r="D126" s="258">
        <f>'Z_1.1.sz.mell.'!D126</f>
        <v>4343418</v>
      </c>
      <c r="E126" s="106">
        <f>'Z_1.1.sz.mell.'!E126</f>
        <v>4343418</v>
      </c>
    </row>
    <row r="127" spans="1:5" ht="12" customHeight="1" x14ac:dyDescent="0.25">
      <c r="A127" s="13" t="s">
        <v>80</v>
      </c>
      <c r="B127" s="113" t="s">
        <v>331</v>
      </c>
      <c r="C127" s="170">
        <f>'Z_1.1.sz.mell.'!C127</f>
        <v>0</v>
      </c>
      <c r="D127" s="258">
        <f>'Z_1.1.sz.mell.'!D127</f>
        <v>0</v>
      </c>
      <c r="E127" s="106">
        <f>'Z_1.1.sz.mell.'!E127</f>
        <v>0</v>
      </c>
    </row>
    <row r="128" spans="1:5" ht="12" customHeight="1" x14ac:dyDescent="0.25">
      <c r="A128" s="13" t="s">
        <v>82</v>
      </c>
      <c r="B128" s="178" t="s">
        <v>276</v>
      </c>
      <c r="C128" s="170">
        <f>'Z_1.1.sz.mell.'!C128</f>
        <v>0</v>
      </c>
      <c r="D128" s="258">
        <f>'Z_1.1.sz.mell.'!D128</f>
        <v>0</v>
      </c>
      <c r="E128" s="106">
        <f>'Z_1.1.sz.mell.'!E128</f>
        <v>0</v>
      </c>
    </row>
    <row r="129" spans="1:5" x14ac:dyDescent="0.25">
      <c r="A129" s="13" t="s">
        <v>126</v>
      </c>
      <c r="B129" s="66" t="s">
        <v>259</v>
      </c>
      <c r="C129" s="170">
        <f>'Z_1.1.sz.mell.'!C129</f>
        <v>0</v>
      </c>
      <c r="D129" s="258">
        <f>'Z_1.1.sz.mell.'!D129</f>
        <v>4100000</v>
      </c>
      <c r="E129" s="106">
        <f>'Z_1.1.sz.mell.'!E129</f>
        <v>4100000</v>
      </c>
    </row>
    <row r="130" spans="1:5" ht="12" customHeight="1" x14ac:dyDescent="0.25">
      <c r="A130" s="13" t="s">
        <v>127</v>
      </c>
      <c r="B130" s="66" t="s">
        <v>275</v>
      </c>
      <c r="C130" s="170">
        <f>'Z_1.1.sz.mell.'!C130</f>
        <v>0</v>
      </c>
      <c r="D130" s="258">
        <f>'Z_1.1.sz.mell.'!D130</f>
        <v>243418</v>
      </c>
      <c r="E130" s="106">
        <f>'Z_1.1.sz.mell.'!E130</f>
        <v>243418</v>
      </c>
    </row>
    <row r="131" spans="1:5" ht="12" customHeight="1" x14ac:dyDescent="0.25">
      <c r="A131" s="13" t="s">
        <v>128</v>
      </c>
      <c r="B131" s="66" t="s">
        <v>274</v>
      </c>
      <c r="C131" s="170">
        <f>'Z_1.1.sz.mell.'!C131</f>
        <v>0</v>
      </c>
      <c r="D131" s="258">
        <f>'Z_1.1.sz.mell.'!D131</f>
        <v>0</v>
      </c>
      <c r="E131" s="106">
        <f>'Z_1.1.sz.mell.'!E131</f>
        <v>0</v>
      </c>
    </row>
    <row r="132" spans="1:5" ht="12" customHeight="1" x14ac:dyDescent="0.25">
      <c r="A132" s="13" t="s">
        <v>267</v>
      </c>
      <c r="B132" s="66" t="s">
        <v>262</v>
      </c>
      <c r="C132" s="170">
        <f>'Z_1.1.sz.mell.'!C132</f>
        <v>0</v>
      </c>
      <c r="D132" s="258">
        <f>'Z_1.1.sz.mell.'!D132</f>
        <v>0</v>
      </c>
      <c r="E132" s="106">
        <f>'Z_1.1.sz.mell.'!E132</f>
        <v>0</v>
      </c>
    </row>
    <row r="133" spans="1:5" ht="12" customHeight="1" x14ac:dyDescent="0.25">
      <c r="A133" s="13" t="s">
        <v>268</v>
      </c>
      <c r="B133" s="66" t="s">
        <v>273</v>
      </c>
      <c r="C133" s="170">
        <f>'Z_1.1.sz.mell.'!C133</f>
        <v>0</v>
      </c>
      <c r="D133" s="258">
        <f>'Z_1.1.sz.mell.'!D133</f>
        <v>0</v>
      </c>
      <c r="E133" s="106">
        <f>'Z_1.1.sz.mell.'!E133</f>
        <v>0</v>
      </c>
    </row>
    <row r="134" spans="1:5" ht="16.5" thickBot="1" x14ac:dyDescent="0.3">
      <c r="A134" s="11" t="s">
        <v>269</v>
      </c>
      <c r="B134" s="66" t="s">
        <v>272</v>
      </c>
      <c r="C134" s="172">
        <f>'Z_1.1.sz.mell.'!C134</f>
        <v>0</v>
      </c>
      <c r="D134" s="259">
        <f>'Z_1.1.sz.mell.'!D134</f>
        <v>0</v>
      </c>
      <c r="E134" s="108">
        <f>'Z_1.1.sz.mell.'!E134</f>
        <v>0</v>
      </c>
    </row>
    <row r="135" spans="1:5" ht="12" customHeight="1" thickBot="1" x14ac:dyDescent="0.3">
      <c r="A135" s="18" t="s">
        <v>8</v>
      </c>
      <c r="B135" s="59" t="s">
        <v>349</v>
      </c>
      <c r="C135" s="169">
        <f>'Z_1.1.sz.mell.'!C135</f>
        <v>655529557</v>
      </c>
      <c r="D135" s="256">
        <f>'Z_1.1.sz.mell.'!D135</f>
        <v>816768963</v>
      </c>
      <c r="E135" s="105">
        <f>'Z_1.1.sz.mell.'!E135</f>
        <v>670583450</v>
      </c>
    </row>
    <row r="136" spans="1:5" ht="12" customHeight="1" thickBot="1" x14ac:dyDescent="0.3">
      <c r="A136" s="18" t="s">
        <v>9</v>
      </c>
      <c r="B136" s="59" t="s">
        <v>421</v>
      </c>
      <c r="C136" s="169">
        <f>'Z_1.1.sz.mell.'!C136</f>
        <v>0</v>
      </c>
      <c r="D136" s="256">
        <f>'Z_1.1.sz.mell.'!D136</f>
        <v>0</v>
      </c>
      <c r="E136" s="105">
        <f>'Z_1.1.sz.mell.'!E136</f>
        <v>0</v>
      </c>
    </row>
    <row r="137" spans="1:5" ht="12" customHeight="1" x14ac:dyDescent="0.25">
      <c r="A137" s="13" t="s">
        <v>176</v>
      </c>
      <c r="B137" s="10" t="s">
        <v>357</v>
      </c>
      <c r="C137" s="170">
        <f>'Z_1.1.sz.mell.'!C137</f>
        <v>0</v>
      </c>
      <c r="D137" s="258">
        <f>'Z_1.1.sz.mell.'!D137</f>
        <v>0</v>
      </c>
      <c r="E137" s="106">
        <f>'Z_1.1.sz.mell.'!E137</f>
        <v>0</v>
      </c>
    </row>
    <row r="138" spans="1:5" ht="12" customHeight="1" x14ac:dyDescent="0.25">
      <c r="A138" s="13" t="s">
        <v>177</v>
      </c>
      <c r="B138" s="10" t="s">
        <v>358</v>
      </c>
      <c r="C138" s="170">
        <f>'Z_1.1.sz.mell.'!C138</f>
        <v>0</v>
      </c>
      <c r="D138" s="258">
        <f>'Z_1.1.sz.mell.'!D138</f>
        <v>0</v>
      </c>
      <c r="E138" s="106">
        <f>'Z_1.1.sz.mell.'!E138</f>
        <v>0</v>
      </c>
    </row>
    <row r="139" spans="1:5" ht="12" customHeight="1" thickBot="1" x14ac:dyDescent="0.3">
      <c r="A139" s="11" t="s">
        <v>178</v>
      </c>
      <c r="B139" s="10" t="s">
        <v>359</v>
      </c>
      <c r="C139" s="170">
        <f>'Z_1.1.sz.mell.'!C139</f>
        <v>0</v>
      </c>
      <c r="D139" s="258">
        <f>'Z_1.1.sz.mell.'!D139</f>
        <v>0</v>
      </c>
      <c r="E139" s="106">
        <f>'Z_1.1.sz.mell.'!E139</f>
        <v>0</v>
      </c>
    </row>
    <row r="140" spans="1:5" ht="12" customHeight="1" thickBot="1" x14ac:dyDescent="0.3">
      <c r="A140" s="18" t="s">
        <v>10</v>
      </c>
      <c r="B140" s="59" t="s">
        <v>351</v>
      </c>
      <c r="C140" s="169">
        <f>'Z_1.1.sz.mell.'!C140</f>
        <v>0</v>
      </c>
      <c r="D140" s="256">
        <f>'Z_1.1.sz.mell.'!D140</f>
        <v>0</v>
      </c>
      <c r="E140" s="105">
        <f>'Z_1.1.sz.mell.'!E140</f>
        <v>0</v>
      </c>
    </row>
    <row r="141" spans="1:5" ht="12" customHeight="1" x14ac:dyDescent="0.25">
      <c r="A141" s="13" t="s">
        <v>56</v>
      </c>
      <c r="B141" s="7" t="s">
        <v>360</v>
      </c>
      <c r="C141" s="170">
        <f>'Z_1.1.sz.mell.'!C141</f>
        <v>0</v>
      </c>
      <c r="D141" s="258">
        <f>'Z_1.1.sz.mell.'!D141</f>
        <v>0</v>
      </c>
      <c r="E141" s="106">
        <f>'Z_1.1.sz.mell.'!E141</f>
        <v>0</v>
      </c>
    </row>
    <row r="142" spans="1:5" ht="12" customHeight="1" x14ac:dyDescent="0.25">
      <c r="A142" s="13" t="s">
        <v>57</v>
      </c>
      <c r="B142" s="7" t="s">
        <v>352</v>
      </c>
      <c r="C142" s="170">
        <f>'Z_1.1.sz.mell.'!C142</f>
        <v>0</v>
      </c>
      <c r="D142" s="258">
        <f>'Z_1.1.sz.mell.'!D142</f>
        <v>0</v>
      </c>
      <c r="E142" s="106">
        <f>'Z_1.1.sz.mell.'!E142</f>
        <v>0</v>
      </c>
    </row>
    <row r="143" spans="1:5" ht="12" customHeight="1" x14ac:dyDescent="0.25">
      <c r="A143" s="13" t="s">
        <v>58</v>
      </c>
      <c r="B143" s="7" t="s">
        <v>353</v>
      </c>
      <c r="C143" s="170">
        <f>'Z_1.1.sz.mell.'!C143</f>
        <v>0</v>
      </c>
      <c r="D143" s="258">
        <f>'Z_1.1.sz.mell.'!D143</f>
        <v>0</v>
      </c>
      <c r="E143" s="106">
        <f>'Z_1.1.sz.mell.'!E143</f>
        <v>0</v>
      </c>
    </row>
    <row r="144" spans="1:5" ht="12" customHeight="1" x14ac:dyDescent="0.25">
      <c r="A144" s="13" t="s">
        <v>113</v>
      </c>
      <c r="B144" s="7" t="s">
        <v>354</v>
      </c>
      <c r="C144" s="170">
        <f>'Z_1.1.sz.mell.'!C144</f>
        <v>0</v>
      </c>
      <c r="D144" s="258">
        <f>'Z_1.1.sz.mell.'!D144</f>
        <v>0</v>
      </c>
      <c r="E144" s="106">
        <f>'Z_1.1.sz.mell.'!E144</f>
        <v>0</v>
      </c>
    </row>
    <row r="145" spans="1:9" ht="12" customHeight="1" x14ac:dyDescent="0.25">
      <c r="A145" s="13" t="s">
        <v>114</v>
      </c>
      <c r="B145" s="7" t="s">
        <v>355</v>
      </c>
      <c r="C145" s="170">
        <f>'Z_1.1.sz.mell.'!C145</f>
        <v>0</v>
      </c>
      <c r="D145" s="258">
        <f>'Z_1.1.sz.mell.'!D145</f>
        <v>0</v>
      </c>
      <c r="E145" s="106">
        <f>'Z_1.1.sz.mell.'!E145</f>
        <v>0</v>
      </c>
    </row>
    <row r="146" spans="1:9" ht="12" customHeight="1" thickBot="1" x14ac:dyDescent="0.3">
      <c r="A146" s="16" t="s">
        <v>115</v>
      </c>
      <c r="B146" s="319" t="s">
        <v>356</v>
      </c>
      <c r="C146" s="247">
        <f>'Z_1.1.sz.mell.'!C146</f>
        <v>0</v>
      </c>
      <c r="D146" s="296">
        <f>'Z_1.1.sz.mell.'!D146</f>
        <v>0</v>
      </c>
      <c r="E146" s="241">
        <f>'Z_1.1.sz.mell.'!E146</f>
        <v>0</v>
      </c>
    </row>
    <row r="147" spans="1:9" ht="12" customHeight="1" thickBot="1" x14ac:dyDescent="0.3">
      <c r="A147" s="18" t="s">
        <v>11</v>
      </c>
      <c r="B147" s="59" t="s">
        <v>364</v>
      </c>
      <c r="C147" s="175">
        <f>'Z_1.1.sz.mell.'!C147</f>
        <v>6755189</v>
      </c>
      <c r="D147" s="260">
        <f>'Z_1.1.sz.mell.'!D147</f>
        <v>7309863</v>
      </c>
      <c r="E147" s="211">
        <f>'Z_1.1.sz.mell.'!E147</f>
        <v>7309863</v>
      </c>
    </row>
    <row r="148" spans="1:9" ht="12" customHeight="1" x14ac:dyDescent="0.25">
      <c r="A148" s="13" t="s">
        <v>59</v>
      </c>
      <c r="B148" s="7" t="s">
        <v>277</v>
      </c>
      <c r="C148" s="170">
        <f>'Z_1.1.sz.mell.'!C148</f>
        <v>0</v>
      </c>
      <c r="D148" s="258">
        <f>'Z_1.1.sz.mell.'!D148</f>
        <v>0</v>
      </c>
      <c r="E148" s="106">
        <f>'Z_1.1.sz.mell.'!E148</f>
        <v>0</v>
      </c>
    </row>
    <row r="149" spans="1:9" ht="12" customHeight="1" x14ac:dyDescent="0.25">
      <c r="A149" s="13" t="s">
        <v>60</v>
      </c>
      <c r="B149" s="7" t="s">
        <v>278</v>
      </c>
      <c r="C149" s="170">
        <f>'Z_1.1.sz.mell.'!C149</f>
        <v>6755189</v>
      </c>
      <c r="D149" s="258">
        <f>'Z_1.1.sz.mell.'!D149</f>
        <v>7309863</v>
      </c>
      <c r="E149" s="106">
        <f>'Z_1.1.sz.mell.'!E149</f>
        <v>7309863</v>
      </c>
    </row>
    <row r="150" spans="1:9" ht="12" customHeight="1" x14ac:dyDescent="0.25">
      <c r="A150" s="13" t="s">
        <v>194</v>
      </c>
      <c r="B150" s="7" t="s">
        <v>365</v>
      </c>
      <c r="C150" s="170">
        <f>'Z_1.1.sz.mell.'!C150</f>
        <v>0</v>
      </c>
      <c r="D150" s="258">
        <f>'Z_1.1.sz.mell.'!D150</f>
        <v>0</v>
      </c>
      <c r="E150" s="106">
        <f>'Z_1.1.sz.mell.'!E150</f>
        <v>0</v>
      </c>
    </row>
    <row r="151" spans="1:9" ht="12" customHeight="1" thickBot="1" x14ac:dyDescent="0.3">
      <c r="A151" s="11" t="s">
        <v>195</v>
      </c>
      <c r="B151" s="5" t="s">
        <v>294</v>
      </c>
      <c r="C151" s="170">
        <f>'Z_1.1.sz.mell.'!C151</f>
        <v>0</v>
      </c>
      <c r="D151" s="258">
        <f>'Z_1.1.sz.mell.'!D151</f>
        <v>0</v>
      </c>
      <c r="E151" s="106">
        <f>'Z_1.1.sz.mell.'!E151</f>
        <v>0</v>
      </c>
    </row>
    <row r="152" spans="1:9" ht="12" customHeight="1" thickBot="1" x14ac:dyDescent="0.3">
      <c r="A152" s="18" t="s">
        <v>12</v>
      </c>
      <c r="B152" s="59" t="s">
        <v>366</v>
      </c>
      <c r="C152" s="249">
        <f>'Z_1.1.sz.mell.'!C152</f>
        <v>0</v>
      </c>
      <c r="D152" s="261">
        <f>'Z_1.1.sz.mell.'!D152</f>
        <v>0</v>
      </c>
      <c r="E152" s="243">
        <f>'Z_1.1.sz.mell.'!E152</f>
        <v>0</v>
      </c>
    </row>
    <row r="153" spans="1:9" ht="12" customHeight="1" x14ac:dyDescent="0.25">
      <c r="A153" s="13" t="s">
        <v>61</v>
      </c>
      <c r="B153" s="7" t="s">
        <v>361</v>
      </c>
      <c r="C153" s="170">
        <f>'Z_1.1.sz.mell.'!C153</f>
        <v>0</v>
      </c>
      <c r="D153" s="258">
        <f>'Z_1.1.sz.mell.'!D153</f>
        <v>0</v>
      </c>
      <c r="E153" s="106">
        <f>'Z_1.1.sz.mell.'!E153</f>
        <v>0</v>
      </c>
    </row>
    <row r="154" spans="1:9" ht="12" customHeight="1" x14ac:dyDescent="0.25">
      <c r="A154" s="13" t="s">
        <v>62</v>
      </c>
      <c r="B154" s="7" t="s">
        <v>368</v>
      </c>
      <c r="C154" s="170">
        <f>'Z_1.1.sz.mell.'!C154</f>
        <v>0</v>
      </c>
      <c r="D154" s="258">
        <f>'Z_1.1.sz.mell.'!D154</f>
        <v>0</v>
      </c>
      <c r="E154" s="106">
        <f>'Z_1.1.sz.mell.'!E154</f>
        <v>0</v>
      </c>
    </row>
    <row r="155" spans="1:9" ht="12" customHeight="1" x14ac:dyDescent="0.25">
      <c r="A155" s="13" t="s">
        <v>206</v>
      </c>
      <c r="B155" s="7" t="s">
        <v>363</v>
      </c>
      <c r="C155" s="170">
        <f>'Z_1.1.sz.mell.'!C155</f>
        <v>0</v>
      </c>
      <c r="D155" s="258">
        <f>'Z_1.1.sz.mell.'!D155</f>
        <v>0</v>
      </c>
      <c r="E155" s="106">
        <f>'Z_1.1.sz.mell.'!E155</f>
        <v>0</v>
      </c>
    </row>
    <row r="156" spans="1:9" ht="12" customHeight="1" x14ac:dyDescent="0.25">
      <c r="A156" s="13" t="s">
        <v>207</v>
      </c>
      <c r="B156" s="7" t="s">
        <v>369</v>
      </c>
      <c r="C156" s="170">
        <f>'Z_1.1.sz.mell.'!C156</f>
        <v>0</v>
      </c>
      <c r="D156" s="258">
        <f>'Z_1.1.sz.mell.'!D156</f>
        <v>0</v>
      </c>
      <c r="E156" s="106">
        <f>'Z_1.1.sz.mell.'!E156</f>
        <v>0</v>
      </c>
    </row>
    <row r="157" spans="1:9" ht="12" customHeight="1" thickBot="1" x14ac:dyDescent="0.3">
      <c r="A157" s="13" t="s">
        <v>367</v>
      </c>
      <c r="B157" s="7" t="s">
        <v>370</v>
      </c>
      <c r="C157" s="170">
        <f>'Z_1.1.sz.mell.'!C157</f>
        <v>0</v>
      </c>
      <c r="D157" s="258">
        <f>'Z_1.1.sz.mell.'!D157</f>
        <v>0</v>
      </c>
      <c r="E157" s="106">
        <f>'Z_1.1.sz.mell.'!E157</f>
        <v>0</v>
      </c>
    </row>
    <row r="158" spans="1:9" ht="12" customHeight="1" thickBot="1" x14ac:dyDescent="0.3">
      <c r="A158" s="18" t="s">
        <v>13</v>
      </c>
      <c r="B158" s="59" t="s">
        <v>371</v>
      </c>
      <c r="C158" s="250">
        <f>'Z_1.1.sz.mell.'!C158</f>
        <v>0</v>
      </c>
      <c r="D158" s="262">
        <f>'Z_1.1.sz.mell.'!D158</f>
        <v>0</v>
      </c>
      <c r="E158" s="244">
        <f>'Z_1.1.sz.mell.'!E158</f>
        <v>0</v>
      </c>
    </row>
    <row r="159" spans="1:9" ht="12" customHeight="1" thickBot="1" x14ac:dyDescent="0.3">
      <c r="A159" s="18" t="s">
        <v>14</v>
      </c>
      <c r="B159" s="59" t="s">
        <v>372</v>
      </c>
      <c r="C159" s="250">
        <f>'Z_1.1.sz.mell.'!C159</f>
        <v>0</v>
      </c>
      <c r="D159" s="262">
        <f>'Z_1.1.sz.mell.'!D159</f>
        <v>0</v>
      </c>
      <c r="E159" s="244">
        <f>'Z_1.1.sz.mell.'!E159</f>
        <v>0</v>
      </c>
    </row>
    <row r="160" spans="1:9" ht="15.2" customHeight="1" thickBot="1" x14ac:dyDescent="0.3">
      <c r="A160" s="18" t="s">
        <v>15</v>
      </c>
      <c r="B160" s="59" t="s">
        <v>374</v>
      </c>
      <c r="C160" s="251">
        <f>'Z_1.1.sz.mell.'!C160</f>
        <v>6755189</v>
      </c>
      <c r="D160" s="263">
        <f>'Z_1.1.sz.mell.'!D160</f>
        <v>7309863</v>
      </c>
      <c r="E160" s="245">
        <f>'Z_1.1.sz.mell.'!E160</f>
        <v>7309863</v>
      </c>
      <c r="F160" s="192"/>
      <c r="G160" s="193"/>
      <c r="H160" s="193"/>
      <c r="I160" s="193"/>
    </row>
    <row r="161" spans="1:5" s="181" customFormat="1" ht="12.95" customHeight="1" thickBot="1" x14ac:dyDescent="0.25">
      <c r="A161" s="115" t="s">
        <v>16</v>
      </c>
      <c r="B161" s="156" t="s">
        <v>373</v>
      </c>
      <c r="C161" s="251">
        <f>'Z_1.1.sz.mell.'!C161</f>
        <v>662284746</v>
      </c>
      <c r="D161" s="263">
        <f>'Z_1.1.sz.mell.'!D161</f>
        <v>824078826</v>
      </c>
      <c r="E161" s="245">
        <f>'Z_1.1.sz.mell.'!E161</f>
        <v>677893313</v>
      </c>
    </row>
    <row r="162" spans="1:5" x14ac:dyDescent="0.25">
      <c r="C162" s="629">
        <f>C93-C161</f>
        <v>0</v>
      </c>
      <c r="D162" s="629">
        <f>D93-D161</f>
        <v>0</v>
      </c>
    </row>
    <row r="163" spans="1:5" x14ac:dyDescent="0.25">
      <c r="A163" s="827" t="s">
        <v>279</v>
      </c>
      <c r="B163" s="827"/>
      <c r="C163" s="827"/>
      <c r="D163" s="827"/>
      <c r="E163" s="827"/>
    </row>
    <row r="164" spans="1:5" ht="15.2" customHeight="1" thickBot="1" x14ac:dyDescent="0.3">
      <c r="A164" s="819" t="s">
        <v>101</v>
      </c>
      <c r="B164" s="819"/>
      <c r="C164" s="117"/>
      <c r="E164" s="117" t="str">
        <f>E96</f>
        <v xml:space="preserve"> Forintban!</v>
      </c>
    </row>
    <row r="165" spans="1:5" ht="25.5" customHeight="1" thickBot="1" x14ac:dyDescent="0.3">
      <c r="A165" s="18">
        <v>1</v>
      </c>
      <c r="B165" s="23" t="s">
        <v>375</v>
      </c>
      <c r="C165" s="255">
        <f>+C68-C135</f>
        <v>-175988378</v>
      </c>
      <c r="D165" s="169">
        <f>+D68-D135</f>
        <v>-158325455</v>
      </c>
      <c r="E165" s="105">
        <f>+E68-E135</f>
        <v>-54176119</v>
      </c>
    </row>
    <row r="166" spans="1:5" ht="32.450000000000003" customHeight="1" thickBot="1" x14ac:dyDescent="0.3">
      <c r="A166" s="18" t="s">
        <v>7</v>
      </c>
      <c r="B166" s="23" t="s">
        <v>381</v>
      </c>
      <c r="C166" s="169">
        <f>+C92-C160</f>
        <v>175988378</v>
      </c>
      <c r="D166" s="169">
        <f>+D92-D160</f>
        <v>158325455</v>
      </c>
      <c r="E166" s="105">
        <f>+E92-E160</f>
        <v>165411696</v>
      </c>
    </row>
  </sheetData>
  <mergeCells count="16">
    <mergeCell ref="B1:E1"/>
    <mergeCell ref="A2:E2"/>
    <mergeCell ref="A3:E3"/>
    <mergeCell ref="A4:E4"/>
    <mergeCell ref="A6:E6"/>
    <mergeCell ref="A7:B7"/>
    <mergeCell ref="A163:E163"/>
    <mergeCell ref="A164:B164"/>
    <mergeCell ref="A8:A9"/>
    <mergeCell ref="B8:B9"/>
    <mergeCell ref="C8:E8"/>
    <mergeCell ref="A95:E95"/>
    <mergeCell ref="A96:B96"/>
    <mergeCell ref="A97:A98"/>
    <mergeCell ref="B97:B98"/>
    <mergeCell ref="C97:E97"/>
  </mergeCells>
  <printOptions horizontalCentered="1"/>
  <pageMargins left="0.6692913385826772" right="0.6692913385826772" top="0.86614173228346458" bottom="0.86614173228346458" header="0" footer="0"/>
  <pageSetup paperSize="9" scale="72" fitToHeight="2" orientation="portrait" r:id="rId1"/>
  <headerFooter alignWithMargins="0"/>
  <rowBreaks count="2" manualBreakCount="2">
    <brk id="68" max="4" man="1"/>
    <brk id="14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490C-733F-45AE-88ED-EE227457BBAA}">
  <sheetPr>
    <tabColor theme="0" tint="-0.499984740745262"/>
  </sheetPr>
  <dimension ref="A1:I166"/>
  <sheetViews>
    <sheetView zoomScale="120" zoomScaleNormal="120" zoomScaleSheetLayoutView="100" workbookViewId="0">
      <selection activeCell="B37" sqref="B37"/>
    </sheetView>
  </sheetViews>
  <sheetFormatPr defaultRowHeight="15.75" x14ac:dyDescent="0.25"/>
  <cols>
    <col min="1" max="1" width="9.5" style="157" customWidth="1"/>
    <col min="2" max="2" width="65.83203125" style="157" customWidth="1"/>
    <col min="3" max="3" width="17.83203125" style="158" customWidth="1"/>
    <col min="4" max="5" width="17.83203125" style="179" customWidth="1"/>
    <col min="6" max="16384" width="9.33203125" style="179"/>
  </cols>
  <sheetData>
    <row r="1" spans="1:5" x14ac:dyDescent="0.25">
      <c r="A1" s="320"/>
      <c r="B1" s="814" t="str">
        <f>CONCATENATE("1.3. melléklet ",Z_ALAPADATOK!A7," ",Z_ALAPADATOK!B7," ",Z_ALAPADATOK!C7," ",Z_ALAPADATOK!D7," ",Z_ALAPADATOK!E7," ",Z_ALAPADATOK!F7," ",Z_ALAPADATOK!G7," ",Z_ALAPADATOK!H7)</f>
        <v>1.3. melléklet a … / 2022. ( … ) önkormányzati rendelethez</v>
      </c>
      <c r="C1" s="815"/>
      <c r="D1" s="815"/>
      <c r="E1" s="815"/>
    </row>
    <row r="2" spans="1:5" x14ac:dyDescent="0.25">
      <c r="A2" s="816" t="str">
        <f>CONCATENATE(Z_ALAPADATOK!A3)</f>
        <v>Sajószöged Községi Önkormányzat</v>
      </c>
      <c r="B2" s="817"/>
      <c r="C2" s="817"/>
      <c r="D2" s="817"/>
      <c r="E2" s="817"/>
    </row>
    <row r="3" spans="1:5" x14ac:dyDescent="0.25">
      <c r="A3" s="816" t="str">
        <f>CONCATENATE(Z_ALAPADATOK!B1,". ÉVI ZÁRSZÁMADÁS")</f>
        <v>2021. ÉVI ZÁRSZÁMADÁS</v>
      </c>
      <c r="B3" s="816"/>
      <c r="C3" s="818"/>
      <c r="D3" s="816"/>
      <c r="E3" s="816"/>
    </row>
    <row r="4" spans="1:5" ht="19.5" customHeight="1" x14ac:dyDescent="0.25">
      <c r="A4" s="816" t="s">
        <v>845</v>
      </c>
      <c r="B4" s="816"/>
      <c r="C4" s="818"/>
      <c r="D4" s="816"/>
      <c r="E4" s="816"/>
    </row>
    <row r="5" spans="1:5" x14ac:dyDescent="0.25">
      <c r="A5" s="320"/>
      <c r="B5" s="320"/>
      <c r="C5" s="321"/>
      <c r="D5" s="322"/>
      <c r="E5" s="322"/>
    </row>
    <row r="6" spans="1:5" ht="15.95" customHeight="1" x14ac:dyDescent="0.25">
      <c r="A6" s="828" t="s">
        <v>3</v>
      </c>
      <c r="B6" s="828"/>
      <c r="C6" s="828"/>
      <c r="D6" s="828"/>
      <c r="E6" s="828"/>
    </row>
    <row r="7" spans="1:5" ht="15.95" customHeight="1" thickBot="1" x14ac:dyDescent="0.3">
      <c r="A7" s="830" t="s">
        <v>99</v>
      </c>
      <c r="B7" s="830"/>
      <c r="C7" s="323"/>
      <c r="D7" s="322"/>
      <c r="E7" s="323" t="str">
        <f>CONCATENATE('Z_1.2.sz.mell.'!E7)</f>
        <v xml:space="preserve"> Forintban!</v>
      </c>
    </row>
    <row r="8" spans="1:5" x14ac:dyDescent="0.25">
      <c r="A8" s="820" t="s">
        <v>51</v>
      </c>
      <c r="B8" s="822" t="s">
        <v>5</v>
      </c>
      <c r="C8" s="824" t="str">
        <f>+CONCATENATE(LEFT(Z_ÖSSZEFÜGGÉSEK!A6,4),". évi")</f>
        <v>2021. évi</v>
      </c>
      <c r="D8" s="825"/>
      <c r="E8" s="826"/>
    </row>
    <row r="9" spans="1:5" ht="24.75" thickBot="1" x14ac:dyDescent="0.3">
      <c r="A9" s="821"/>
      <c r="B9" s="823"/>
      <c r="C9" s="253" t="s">
        <v>418</v>
      </c>
      <c r="D9" s="252" t="s">
        <v>419</v>
      </c>
      <c r="E9" s="313" t="str">
        <f>CONCATENATE('Z_1.2.sz.mell.'!E9)</f>
        <v>2021. XII. 31.
teljesítés</v>
      </c>
    </row>
    <row r="10" spans="1:5" s="180" customFormat="1" ht="12" customHeight="1" thickBot="1" x14ac:dyDescent="0.25">
      <c r="A10" s="176" t="s">
        <v>385</v>
      </c>
      <c r="B10" s="177" t="s">
        <v>386</v>
      </c>
      <c r="C10" s="177" t="s">
        <v>387</v>
      </c>
      <c r="D10" s="177" t="s">
        <v>389</v>
      </c>
      <c r="E10" s="254" t="s">
        <v>388</v>
      </c>
    </row>
    <row r="11" spans="1:5" s="181" customFormat="1" ht="12" customHeight="1" thickBot="1" x14ac:dyDescent="0.25">
      <c r="A11" s="18" t="s">
        <v>6</v>
      </c>
      <c r="B11" s="19" t="s">
        <v>161</v>
      </c>
      <c r="C11" s="169">
        <f>+C12+C13+C14+C15+C16+C17</f>
        <v>0</v>
      </c>
      <c r="D11" s="169">
        <f>+D12+D13+D14+D15+D16+D17</f>
        <v>0</v>
      </c>
      <c r="E11" s="105">
        <f>+E12+E13+E14+E15+E16+E17</f>
        <v>0</v>
      </c>
    </row>
    <row r="12" spans="1:5" s="181" customFormat="1" ht="12" customHeight="1" x14ac:dyDescent="0.2">
      <c r="A12" s="13" t="s">
        <v>63</v>
      </c>
      <c r="B12" s="182" t="s">
        <v>162</v>
      </c>
      <c r="C12" s="171"/>
      <c r="D12" s="171"/>
      <c r="E12" s="107"/>
    </row>
    <row r="13" spans="1:5" s="181" customFormat="1" ht="12" customHeight="1" x14ac:dyDescent="0.2">
      <c r="A13" s="12" t="s">
        <v>64</v>
      </c>
      <c r="B13" s="183" t="s">
        <v>163</v>
      </c>
      <c r="C13" s="170"/>
      <c r="D13" s="170"/>
      <c r="E13" s="106"/>
    </row>
    <row r="14" spans="1:5" s="181" customFormat="1" ht="12" customHeight="1" x14ac:dyDescent="0.2">
      <c r="A14" s="12" t="s">
        <v>65</v>
      </c>
      <c r="B14" s="183" t="s">
        <v>164</v>
      </c>
      <c r="C14" s="170"/>
      <c r="D14" s="170"/>
      <c r="E14" s="106"/>
    </row>
    <row r="15" spans="1:5" s="181" customFormat="1" ht="12" customHeight="1" x14ac:dyDescent="0.2">
      <c r="A15" s="12" t="s">
        <v>66</v>
      </c>
      <c r="B15" s="183" t="s">
        <v>165</v>
      </c>
      <c r="C15" s="170"/>
      <c r="D15" s="170"/>
      <c r="E15" s="106"/>
    </row>
    <row r="16" spans="1:5" s="181" customFormat="1" ht="12" customHeight="1" x14ac:dyDescent="0.2">
      <c r="A16" s="12" t="s">
        <v>96</v>
      </c>
      <c r="B16" s="113" t="s">
        <v>333</v>
      </c>
      <c r="C16" s="170"/>
      <c r="D16" s="170"/>
      <c r="E16" s="106"/>
    </row>
    <row r="17" spans="1:5" s="181" customFormat="1" ht="12" customHeight="1" thickBot="1" x14ac:dyDescent="0.25">
      <c r="A17" s="14" t="s">
        <v>67</v>
      </c>
      <c r="B17" s="114" t="s">
        <v>334</v>
      </c>
      <c r="C17" s="170"/>
      <c r="D17" s="170"/>
      <c r="E17" s="106"/>
    </row>
    <row r="18" spans="1:5" s="181" customFormat="1" ht="12" customHeight="1" thickBot="1" x14ac:dyDescent="0.25">
      <c r="A18" s="18" t="s">
        <v>7</v>
      </c>
      <c r="B18" s="112" t="s">
        <v>166</v>
      </c>
      <c r="C18" s="169">
        <f>+C19+C20+C21+C22+C23</f>
        <v>0</v>
      </c>
      <c r="D18" s="169">
        <f>+D19+D20+D21+D22+D23</f>
        <v>0</v>
      </c>
      <c r="E18" s="105">
        <f>+E19+E20+E21+E22+E23</f>
        <v>0</v>
      </c>
    </row>
    <row r="19" spans="1:5" s="181" customFormat="1" ht="12" customHeight="1" x14ac:dyDescent="0.2">
      <c r="A19" s="13" t="s">
        <v>69</v>
      </c>
      <c r="B19" s="182" t="s">
        <v>167</v>
      </c>
      <c r="C19" s="171"/>
      <c r="D19" s="171"/>
      <c r="E19" s="107"/>
    </row>
    <row r="20" spans="1:5" s="181" customFormat="1" ht="12" customHeight="1" x14ac:dyDescent="0.2">
      <c r="A20" s="12" t="s">
        <v>70</v>
      </c>
      <c r="B20" s="183" t="s">
        <v>168</v>
      </c>
      <c r="C20" s="170"/>
      <c r="D20" s="170"/>
      <c r="E20" s="106"/>
    </row>
    <row r="21" spans="1:5" s="181" customFormat="1" ht="12" customHeight="1" x14ac:dyDescent="0.2">
      <c r="A21" s="12" t="s">
        <v>71</v>
      </c>
      <c r="B21" s="183" t="s">
        <v>325</v>
      </c>
      <c r="C21" s="170"/>
      <c r="D21" s="170"/>
      <c r="E21" s="106"/>
    </row>
    <row r="22" spans="1:5" s="181" customFormat="1" ht="12" customHeight="1" x14ac:dyDescent="0.2">
      <c r="A22" s="12" t="s">
        <v>72</v>
      </c>
      <c r="B22" s="183" t="s">
        <v>326</v>
      </c>
      <c r="C22" s="170"/>
      <c r="D22" s="170"/>
      <c r="E22" s="106"/>
    </row>
    <row r="23" spans="1:5" s="181" customFormat="1" ht="12" customHeight="1" x14ac:dyDescent="0.2">
      <c r="A23" s="12" t="s">
        <v>73</v>
      </c>
      <c r="B23" s="183" t="s">
        <v>169</v>
      </c>
      <c r="C23" s="170"/>
      <c r="D23" s="170"/>
      <c r="E23" s="106"/>
    </row>
    <row r="24" spans="1:5" s="181" customFormat="1" ht="12" customHeight="1" thickBot="1" x14ac:dyDescent="0.25">
      <c r="A24" s="14" t="s">
        <v>80</v>
      </c>
      <c r="B24" s="114" t="s">
        <v>170</v>
      </c>
      <c r="C24" s="172"/>
      <c r="D24" s="172"/>
      <c r="E24" s="108"/>
    </row>
    <row r="25" spans="1:5" s="181" customFormat="1" ht="12" customHeight="1" thickBot="1" x14ac:dyDescent="0.25">
      <c r="A25" s="18" t="s">
        <v>8</v>
      </c>
      <c r="B25" s="19" t="s">
        <v>171</v>
      </c>
      <c r="C25" s="169">
        <f>+C26+C27+C28+C29+C30</f>
        <v>0</v>
      </c>
      <c r="D25" s="169">
        <f>+D26+D27+D28+D29+D30</f>
        <v>0</v>
      </c>
      <c r="E25" s="105">
        <f>+E26+E27+E28+E29+E30</f>
        <v>0</v>
      </c>
    </row>
    <row r="26" spans="1:5" s="181" customFormat="1" ht="12" customHeight="1" x14ac:dyDescent="0.2">
      <c r="A26" s="13" t="s">
        <v>52</v>
      </c>
      <c r="B26" s="182" t="s">
        <v>172</v>
      </c>
      <c r="C26" s="171"/>
      <c r="D26" s="171"/>
      <c r="E26" s="107"/>
    </row>
    <row r="27" spans="1:5" s="181" customFormat="1" ht="12" customHeight="1" x14ac:dyDescent="0.2">
      <c r="A27" s="12" t="s">
        <v>53</v>
      </c>
      <c r="B27" s="183" t="s">
        <v>173</v>
      </c>
      <c r="C27" s="170"/>
      <c r="D27" s="170"/>
      <c r="E27" s="106"/>
    </row>
    <row r="28" spans="1:5" s="181" customFormat="1" ht="12" customHeight="1" x14ac:dyDescent="0.2">
      <c r="A28" s="12" t="s">
        <v>54</v>
      </c>
      <c r="B28" s="183" t="s">
        <v>327</v>
      </c>
      <c r="C28" s="170"/>
      <c r="D28" s="170"/>
      <c r="E28" s="106"/>
    </row>
    <row r="29" spans="1:5" s="181" customFormat="1" ht="12" customHeight="1" x14ac:dyDescent="0.2">
      <c r="A29" s="12" t="s">
        <v>55</v>
      </c>
      <c r="B29" s="183" t="s">
        <v>328</v>
      </c>
      <c r="C29" s="170"/>
      <c r="D29" s="170"/>
      <c r="E29" s="106"/>
    </row>
    <row r="30" spans="1:5" s="181" customFormat="1" ht="12" customHeight="1" x14ac:dyDescent="0.2">
      <c r="A30" s="12" t="s">
        <v>109</v>
      </c>
      <c r="B30" s="183" t="s">
        <v>174</v>
      </c>
      <c r="C30" s="170"/>
      <c r="D30" s="170"/>
      <c r="E30" s="106"/>
    </row>
    <row r="31" spans="1:5" s="181" customFormat="1" ht="12" customHeight="1" thickBot="1" x14ac:dyDescent="0.25">
      <c r="A31" s="14" t="s">
        <v>110</v>
      </c>
      <c r="B31" s="184" t="s">
        <v>175</v>
      </c>
      <c r="C31" s="172"/>
      <c r="D31" s="172"/>
      <c r="E31" s="108"/>
    </row>
    <row r="32" spans="1:5" s="181" customFormat="1" ht="12" customHeight="1" thickBot="1" x14ac:dyDescent="0.25">
      <c r="A32" s="18" t="s">
        <v>111</v>
      </c>
      <c r="B32" s="19" t="s">
        <v>475</v>
      </c>
      <c r="C32" s="175">
        <f>SUM(C33:C39)</f>
        <v>0</v>
      </c>
      <c r="D32" s="175">
        <f>SUM(D33:D39)</f>
        <v>0</v>
      </c>
      <c r="E32" s="211">
        <f>SUM(E33:E39)</f>
        <v>0</v>
      </c>
    </row>
    <row r="33" spans="1:5" s="181" customFormat="1" ht="12" customHeight="1" x14ac:dyDescent="0.2">
      <c r="A33" s="13" t="s">
        <v>176</v>
      </c>
      <c r="B33" s="182" t="str">
        <f>'Z_1.1.sz.mell.'!B33</f>
        <v>Építményadó</v>
      </c>
      <c r="C33" s="171"/>
      <c r="D33" s="171"/>
      <c r="E33" s="107"/>
    </row>
    <row r="34" spans="1:5" s="181" customFormat="1" ht="12" customHeight="1" x14ac:dyDescent="0.2">
      <c r="A34" s="12" t="s">
        <v>177</v>
      </c>
      <c r="B34" s="182" t="str">
        <f>'Z_1.1.sz.mell.'!B34</f>
        <v xml:space="preserve">Idegenforgalmi adó </v>
      </c>
      <c r="C34" s="170"/>
      <c r="D34" s="170"/>
      <c r="E34" s="106"/>
    </row>
    <row r="35" spans="1:5" s="181" customFormat="1" ht="12" customHeight="1" x14ac:dyDescent="0.2">
      <c r="A35" s="12" t="s">
        <v>178</v>
      </c>
      <c r="B35" s="182" t="str">
        <f>'Z_1.1.sz.mell.'!B35</f>
        <v>Iparűzési adó</v>
      </c>
      <c r="C35" s="170"/>
      <c r="D35" s="170"/>
      <c r="E35" s="106"/>
    </row>
    <row r="36" spans="1:5" s="181" customFormat="1" ht="12" customHeight="1" x14ac:dyDescent="0.2">
      <c r="A36" s="12" t="s">
        <v>179</v>
      </c>
      <c r="B36" s="182" t="str">
        <f>'Z_1.1.sz.mell.'!B36</f>
        <v>Talajterhelési díj</v>
      </c>
      <c r="C36" s="170"/>
      <c r="D36" s="170"/>
      <c r="E36" s="106"/>
    </row>
    <row r="37" spans="1:5" s="181" customFormat="1" ht="12" customHeight="1" x14ac:dyDescent="0.2">
      <c r="A37" s="12" t="s">
        <v>479</v>
      </c>
      <c r="B37" s="182" t="str">
        <f>'Z_1.1.sz.mell.'!B37</f>
        <v>Gépjárműadó</v>
      </c>
      <c r="C37" s="170"/>
      <c r="D37" s="170"/>
      <c r="E37" s="106"/>
    </row>
    <row r="38" spans="1:5" s="181" customFormat="1" ht="12" customHeight="1" x14ac:dyDescent="0.2">
      <c r="A38" s="12" t="s">
        <v>480</v>
      </c>
      <c r="B38" s="182" t="str">
        <f>'Z_1.1.sz.mell.'!B38</f>
        <v>Telekadó</v>
      </c>
      <c r="C38" s="170"/>
      <c r="D38" s="170"/>
      <c r="E38" s="106"/>
    </row>
    <row r="39" spans="1:5" s="181" customFormat="1" ht="12" customHeight="1" thickBot="1" x14ac:dyDescent="0.25">
      <c r="A39" s="14" t="s">
        <v>481</v>
      </c>
      <c r="B39" s="182" t="str">
        <f>'Z_1.1.sz.mell.'!B39</f>
        <v>Egyéb közhatalmi bevételek</v>
      </c>
      <c r="C39" s="172"/>
      <c r="D39" s="172"/>
      <c r="E39" s="108"/>
    </row>
    <row r="40" spans="1:5" s="181" customFormat="1" ht="12" customHeight="1" thickBot="1" x14ac:dyDescent="0.25">
      <c r="A40" s="18" t="s">
        <v>10</v>
      </c>
      <c r="B40" s="19" t="s">
        <v>335</v>
      </c>
      <c r="C40" s="169">
        <f>SUM(C41:C51)</f>
        <v>0</v>
      </c>
      <c r="D40" s="169">
        <f>SUM(D41:D51)</f>
        <v>0</v>
      </c>
      <c r="E40" s="105">
        <f>SUM(E41:E51)</f>
        <v>0</v>
      </c>
    </row>
    <row r="41" spans="1:5" s="181" customFormat="1" ht="12" customHeight="1" x14ac:dyDescent="0.2">
      <c r="A41" s="13" t="s">
        <v>56</v>
      </c>
      <c r="B41" s="182" t="s">
        <v>183</v>
      </c>
      <c r="C41" s="171"/>
      <c r="D41" s="171"/>
      <c r="E41" s="107"/>
    </row>
    <row r="42" spans="1:5" s="181" customFormat="1" ht="12" customHeight="1" x14ac:dyDescent="0.2">
      <c r="A42" s="12" t="s">
        <v>57</v>
      </c>
      <c r="B42" s="183" t="s">
        <v>184</v>
      </c>
      <c r="C42" s="170"/>
      <c r="D42" s="170"/>
      <c r="E42" s="106"/>
    </row>
    <row r="43" spans="1:5" s="181" customFormat="1" ht="12" customHeight="1" x14ac:dyDescent="0.2">
      <c r="A43" s="12" t="s">
        <v>58</v>
      </c>
      <c r="B43" s="183" t="s">
        <v>185</v>
      </c>
      <c r="C43" s="170"/>
      <c r="D43" s="170"/>
      <c r="E43" s="106"/>
    </row>
    <row r="44" spans="1:5" s="181" customFormat="1" ht="12" customHeight="1" x14ac:dyDescent="0.2">
      <c r="A44" s="12" t="s">
        <v>113</v>
      </c>
      <c r="B44" s="183" t="s">
        <v>186</v>
      </c>
      <c r="C44" s="170"/>
      <c r="D44" s="170"/>
      <c r="E44" s="106"/>
    </row>
    <row r="45" spans="1:5" s="181" customFormat="1" ht="12" customHeight="1" x14ac:dyDescent="0.2">
      <c r="A45" s="12" t="s">
        <v>114</v>
      </c>
      <c r="B45" s="183" t="s">
        <v>187</v>
      </c>
      <c r="C45" s="170"/>
      <c r="D45" s="170"/>
      <c r="E45" s="106"/>
    </row>
    <row r="46" spans="1:5" s="181" customFormat="1" ht="12" customHeight="1" x14ac:dyDescent="0.2">
      <c r="A46" s="12" t="s">
        <v>115</v>
      </c>
      <c r="B46" s="183" t="s">
        <v>188</v>
      </c>
      <c r="C46" s="170"/>
      <c r="D46" s="170"/>
      <c r="E46" s="106"/>
    </row>
    <row r="47" spans="1:5" s="181" customFormat="1" ht="12" customHeight="1" x14ac:dyDescent="0.2">
      <c r="A47" s="12" t="s">
        <v>116</v>
      </c>
      <c r="B47" s="183" t="s">
        <v>189</v>
      </c>
      <c r="C47" s="170"/>
      <c r="D47" s="170"/>
      <c r="E47" s="106"/>
    </row>
    <row r="48" spans="1:5" s="181" customFormat="1" ht="12" customHeight="1" x14ac:dyDescent="0.2">
      <c r="A48" s="12" t="s">
        <v>117</v>
      </c>
      <c r="B48" s="183" t="s">
        <v>482</v>
      </c>
      <c r="C48" s="170"/>
      <c r="D48" s="170"/>
      <c r="E48" s="106"/>
    </row>
    <row r="49" spans="1:5" s="181" customFormat="1" ht="12" customHeight="1" x14ac:dyDescent="0.2">
      <c r="A49" s="12" t="s">
        <v>181</v>
      </c>
      <c r="B49" s="183" t="s">
        <v>191</v>
      </c>
      <c r="C49" s="173"/>
      <c r="D49" s="173"/>
      <c r="E49" s="109"/>
    </row>
    <row r="50" spans="1:5" s="181" customFormat="1" ht="12" customHeight="1" x14ac:dyDescent="0.2">
      <c r="A50" s="14" t="s">
        <v>182</v>
      </c>
      <c r="B50" s="184" t="s">
        <v>337</v>
      </c>
      <c r="C50" s="174"/>
      <c r="D50" s="174"/>
      <c r="E50" s="110"/>
    </row>
    <row r="51" spans="1:5" s="181" customFormat="1" ht="12" customHeight="1" thickBot="1" x14ac:dyDescent="0.25">
      <c r="A51" s="14" t="s">
        <v>336</v>
      </c>
      <c r="B51" s="114" t="s">
        <v>192</v>
      </c>
      <c r="C51" s="174"/>
      <c r="D51" s="174"/>
      <c r="E51" s="110"/>
    </row>
    <row r="52" spans="1:5" s="181" customFormat="1" ht="12" customHeight="1" thickBot="1" x14ac:dyDescent="0.25">
      <c r="A52" s="18" t="s">
        <v>11</v>
      </c>
      <c r="B52" s="19" t="s">
        <v>193</v>
      </c>
      <c r="C52" s="169">
        <f>SUM(C53:C57)</f>
        <v>0</v>
      </c>
      <c r="D52" s="169">
        <f>SUM(D53:D57)</f>
        <v>0</v>
      </c>
      <c r="E52" s="105">
        <f>SUM(E53:E57)</f>
        <v>0</v>
      </c>
    </row>
    <row r="53" spans="1:5" s="181" customFormat="1" ht="12" customHeight="1" x14ac:dyDescent="0.2">
      <c r="A53" s="13" t="s">
        <v>59</v>
      </c>
      <c r="B53" s="182" t="s">
        <v>197</v>
      </c>
      <c r="C53" s="222"/>
      <c r="D53" s="222"/>
      <c r="E53" s="111"/>
    </row>
    <row r="54" spans="1:5" s="181" customFormat="1" ht="12" customHeight="1" x14ac:dyDescent="0.2">
      <c r="A54" s="12" t="s">
        <v>60</v>
      </c>
      <c r="B54" s="183" t="s">
        <v>198</v>
      </c>
      <c r="C54" s="173"/>
      <c r="D54" s="173"/>
      <c r="E54" s="109"/>
    </row>
    <row r="55" spans="1:5" s="181" customFormat="1" ht="12" customHeight="1" x14ac:dyDescent="0.2">
      <c r="A55" s="12" t="s">
        <v>194</v>
      </c>
      <c r="B55" s="183" t="s">
        <v>199</v>
      </c>
      <c r="C55" s="173"/>
      <c r="D55" s="173"/>
      <c r="E55" s="109"/>
    </row>
    <row r="56" spans="1:5" s="181" customFormat="1" ht="12" customHeight="1" x14ac:dyDescent="0.2">
      <c r="A56" s="12" t="s">
        <v>195</v>
      </c>
      <c r="B56" s="183" t="s">
        <v>200</v>
      </c>
      <c r="C56" s="173"/>
      <c r="D56" s="173"/>
      <c r="E56" s="109"/>
    </row>
    <row r="57" spans="1:5" s="181" customFormat="1" ht="12" customHeight="1" thickBot="1" x14ac:dyDescent="0.25">
      <c r="A57" s="14" t="s">
        <v>196</v>
      </c>
      <c r="B57" s="114" t="s">
        <v>201</v>
      </c>
      <c r="C57" s="174"/>
      <c r="D57" s="174"/>
      <c r="E57" s="110"/>
    </row>
    <row r="58" spans="1:5" s="181" customFormat="1" ht="12" customHeight="1" thickBot="1" x14ac:dyDescent="0.25">
      <c r="A58" s="18" t="s">
        <v>118</v>
      </c>
      <c r="B58" s="19" t="s">
        <v>202</v>
      </c>
      <c r="C58" s="169">
        <f>SUM(C59:C61)</f>
        <v>0</v>
      </c>
      <c r="D58" s="169">
        <f>SUM(D59:D61)</f>
        <v>0</v>
      </c>
      <c r="E58" s="105">
        <f>SUM(E59:E61)</f>
        <v>0</v>
      </c>
    </row>
    <row r="59" spans="1:5" s="181" customFormat="1" ht="12" customHeight="1" x14ac:dyDescent="0.2">
      <c r="A59" s="13" t="s">
        <v>61</v>
      </c>
      <c r="B59" s="182" t="s">
        <v>203</v>
      </c>
      <c r="C59" s="171"/>
      <c r="D59" s="171"/>
      <c r="E59" s="107"/>
    </row>
    <row r="60" spans="1:5" s="181" customFormat="1" ht="12" customHeight="1" x14ac:dyDescent="0.2">
      <c r="A60" s="12" t="s">
        <v>62</v>
      </c>
      <c r="B60" s="183" t="s">
        <v>329</v>
      </c>
      <c r="C60" s="170"/>
      <c r="D60" s="170"/>
      <c r="E60" s="106"/>
    </row>
    <row r="61" spans="1:5" s="181" customFormat="1" ht="12" customHeight="1" x14ac:dyDescent="0.2">
      <c r="A61" s="12" t="s">
        <v>206</v>
      </c>
      <c r="B61" s="183" t="s">
        <v>204</v>
      </c>
      <c r="C61" s="170"/>
      <c r="D61" s="170"/>
      <c r="E61" s="106"/>
    </row>
    <row r="62" spans="1:5" s="181" customFormat="1" ht="12" customHeight="1" thickBot="1" x14ac:dyDescent="0.25">
      <c r="A62" s="14" t="s">
        <v>207</v>
      </c>
      <c r="B62" s="114" t="s">
        <v>205</v>
      </c>
      <c r="C62" s="172"/>
      <c r="D62" s="172"/>
      <c r="E62" s="108"/>
    </row>
    <row r="63" spans="1:5" s="181" customFormat="1" ht="12" customHeight="1" thickBot="1" x14ac:dyDescent="0.25">
      <c r="A63" s="18" t="s">
        <v>13</v>
      </c>
      <c r="B63" s="112" t="s">
        <v>208</v>
      </c>
      <c r="C63" s="169">
        <f>SUM(C64:C66)</f>
        <v>0</v>
      </c>
      <c r="D63" s="169">
        <f>SUM(D64:D66)</f>
        <v>0</v>
      </c>
      <c r="E63" s="105">
        <f>SUM(E64:E66)</f>
        <v>0</v>
      </c>
    </row>
    <row r="64" spans="1:5" s="181" customFormat="1" ht="12" customHeight="1" x14ac:dyDescent="0.2">
      <c r="A64" s="13" t="s">
        <v>119</v>
      </c>
      <c r="B64" s="182" t="s">
        <v>210</v>
      </c>
      <c r="C64" s="173"/>
      <c r="D64" s="173"/>
      <c r="E64" s="109"/>
    </row>
    <row r="65" spans="1:5" s="181" customFormat="1" ht="12" customHeight="1" x14ac:dyDescent="0.2">
      <c r="A65" s="12" t="s">
        <v>120</v>
      </c>
      <c r="B65" s="183" t="s">
        <v>330</v>
      </c>
      <c r="C65" s="173"/>
      <c r="D65" s="173"/>
      <c r="E65" s="109"/>
    </row>
    <row r="66" spans="1:5" s="181" customFormat="1" ht="12" customHeight="1" x14ac:dyDescent="0.2">
      <c r="A66" s="12" t="s">
        <v>143</v>
      </c>
      <c r="B66" s="183" t="s">
        <v>211</v>
      </c>
      <c r="C66" s="173"/>
      <c r="D66" s="173"/>
      <c r="E66" s="109"/>
    </row>
    <row r="67" spans="1:5" s="181" customFormat="1" ht="12" customHeight="1" thickBot="1" x14ac:dyDescent="0.25">
      <c r="A67" s="14" t="s">
        <v>209</v>
      </c>
      <c r="B67" s="114" t="s">
        <v>212</v>
      </c>
      <c r="C67" s="173"/>
      <c r="D67" s="173"/>
      <c r="E67" s="109"/>
    </row>
    <row r="68" spans="1:5" s="181" customFormat="1" ht="12" customHeight="1" thickBot="1" x14ac:dyDescent="0.25">
      <c r="A68" s="236" t="s">
        <v>377</v>
      </c>
      <c r="B68" s="19" t="s">
        <v>213</v>
      </c>
      <c r="C68" s="175">
        <f>+C11+C18+C25+C32+C40+C52+C58+C63</f>
        <v>0</v>
      </c>
      <c r="D68" s="175">
        <f>+D11+D18+D25+D32+D40+D52+D58+D63</f>
        <v>0</v>
      </c>
      <c r="E68" s="211">
        <f>+E11+E18+E25+E32+E40+E52+E58+E63</f>
        <v>0</v>
      </c>
    </row>
    <row r="69" spans="1:5" s="181" customFormat="1" ht="12" customHeight="1" thickBot="1" x14ac:dyDescent="0.25">
      <c r="A69" s="223" t="s">
        <v>214</v>
      </c>
      <c r="B69" s="112" t="s">
        <v>215</v>
      </c>
      <c r="C69" s="169">
        <f>SUM(C70:C72)</f>
        <v>0</v>
      </c>
      <c r="D69" s="169">
        <f>SUM(D70:D72)</f>
        <v>0</v>
      </c>
      <c r="E69" s="105">
        <f>SUM(E70:E72)</f>
        <v>0</v>
      </c>
    </row>
    <row r="70" spans="1:5" s="181" customFormat="1" ht="12" customHeight="1" x14ac:dyDescent="0.2">
      <c r="A70" s="13" t="s">
        <v>243</v>
      </c>
      <c r="B70" s="182" t="s">
        <v>216</v>
      </c>
      <c r="C70" s="173"/>
      <c r="D70" s="173"/>
      <c r="E70" s="109"/>
    </row>
    <row r="71" spans="1:5" s="181" customFormat="1" ht="12" customHeight="1" x14ac:dyDescent="0.2">
      <c r="A71" s="12" t="s">
        <v>252</v>
      </c>
      <c r="B71" s="183" t="s">
        <v>217</v>
      </c>
      <c r="C71" s="173"/>
      <c r="D71" s="173"/>
      <c r="E71" s="109"/>
    </row>
    <row r="72" spans="1:5" s="181" customFormat="1" ht="12" customHeight="1" thickBot="1" x14ac:dyDescent="0.25">
      <c r="A72" s="14" t="s">
        <v>253</v>
      </c>
      <c r="B72" s="232" t="s">
        <v>362</v>
      </c>
      <c r="C72" s="173"/>
      <c r="D72" s="173"/>
      <c r="E72" s="109"/>
    </row>
    <row r="73" spans="1:5" s="181" customFormat="1" ht="12" customHeight="1" thickBot="1" x14ac:dyDescent="0.25">
      <c r="A73" s="223" t="s">
        <v>219</v>
      </c>
      <c r="B73" s="112" t="s">
        <v>220</v>
      </c>
      <c r="C73" s="169">
        <f>SUM(C74:C77)</f>
        <v>0</v>
      </c>
      <c r="D73" s="169">
        <f>SUM(D74:D77)</f>
        <v>0</v>
      </c>
      <c r="E73" s="105">
        <f>SUM(E74:E77)</f>
        <v>0</v>
      </c>
    </row>
    <row r="74" spans="1:5" s="181" customFormat="1" ht="12" customHeight="1" x14ac:dyDescent="0.2">
      <c r="A74" s="13" t="s">
        <v>97</v>
      </c>
      <c r="B74" s="311" t="s">
        <v>221</v>
      </c>
      <c r="C74" s="173"/>
      <c r="D74" s="173"/>
      <c r="E74" s="109"/>
    </row>
    <row r="75" spans="1:5" s="181" customFormat="1" ht="12" customHeight="1" x14ac:dyDescent="0.2">
      <c r="A75" s="12" t="s">
        <v>98</v>
      </c>
      <c r="B75" s="311" t="s">
        <v>489</v>
      </c>
      <c r="C75" s="173"/>
      <c r="D75" s="173"/>
      <c r="E75" s="109"/>
    </row>
    <row r="76" spans="1:5" s="181" customFormat="1" ht="12" customHeight="1" x14ac:dyDescent="0.2">
      <c r="A76" s="12" t="s">
        <v>244</v>
      </c>
      <c r="B76" s="311" t="s">
        <v>222</v>
      </c>
      <c r="C76" s="173"/>
      <c r="D76" s="173"/>
      <c r="E76" s="109"/>
    </row>
    <row r="77" spans="1:5" s="181" customFormat="1" ht="12" customHeight="1" thickBot="1" x14ac:dyDescent="0.25">
      <c r="A77" s="14" t="s">
        <v>245</v>
      </c>
      <c r="B77" s="312" t="s">
        <v>490</v>
      </c>
      <c r="C77" s="173"/>
      <c r="D77" s="173"/>
      <c r="E77" s="109"/>
    </row>
    <row r="78" spans="1:5" s="181" customFormat="1" ht="12" customHeight="1" thickBot="1" x14ac:dyDescent="0.25">
      <c r="A78" s="223" t="s">
        <v>223</v>
      </c>
      <c r="B78" s="112" t="s">
        <v>224</v>
      </c>
      <c r="C78" s="169">
        <f>SUM(C79:C80)</f>
        <v>0</v>
      </c>
      <c r="D78" s="169">
        <f>SUM(D79:D80)</f>
        <v>0</v>
      </c>
      <c r="E78" s="105">
        <f>SUM(E79:E80)</f>
        <v>0</v>
      </c>
    </row>
    <row r="79" spans="1:5" s="181" customFormat="1" ht="12" customHeight="1" x14ac:dyDescent="0.2">
      <c r="A79" s="13" t="s">
        <v>246</v>
      </c>
      <c r="B79" s="182" t="s">
        <v>225</v>
      </c>
      <c r="C79" s="173"/>
      <c r="D79" s="173"/>
      <c r="E79" s="109"/>
    </row>
    <row r="80" spans="1:5" s="181" customFormat="1" ht="12" customHeight="1" thickBot="1" x14ac:dyDescent="0.25">
      <c r="A80" s="14" t="s">
        <v>247</v>
      </c>
      <c r="B80" s="114" t="s">
        <v>226</v>
      </c>
      <c r="C80" s="173"/>
      <c r="D80" s="173"/>
      <c r="E80" s="109"/>
    </row>
    <row r="81" spans="1:5" s="181" customFormat="1" ht="12" customHeight="1" thickBot="1" x14ac:dyDescent="0.25">
      <c r="A81" s="223" t="s">
        <v>227</v>
      </c>
      <c r="B81" s="112" t="s">
        <v>228</v>
      </c>
      <c r="C81" s="169">
        <f>SUM(C82:C84)</f>
        <v>0</v>
      </c>
      <c r="D81" s="169">
        <f>SUM(D82:D84)</f>
        <v>0</v>
      </c>
      <c r="E81" s="105">
        <f>SUM(E82:E84)</f>
        <v>0</v>
      </c>
    </row>
    <row r="82" spans="1:5" s="181" customFormat="1" ht="12" customHeight="1" x14ac:dyDescent="0.2">
      <c r="A82" s="13" t="s">
        <v>248</v>
      </c>
      <c r="B82" s="182" t="s">
        <v>229</v>
      </c>
      <c r="C82" s="173"/>
      <c r="D82" s="173"/>
      <c r="E82" s="109"/>
    </row>
    <row r="83" spans="1:5" s="181" customFormat="1" ht="12" customHeight="1" x14ac:dyDescent="0.2">
      <c r="A83" s="12" t="s">
        <v>249</v>
      </c>
      <c r="B83" s="183" t="s">
        <v>230</v>
      </c>
      <c r="C83" s="173"/>
      <c r="D83" s="173"/>
      <c r="E83" s="109"/>
    </row>
    <row r="84" spans="1:5" s="181" customFormat="1" ht="12" customHeight="1" thickBot="1" x14ac:dyDescent="0.25">
      <c r="A84" s="14" t="s">
        <v>250</v>
      </c>
      <c r="B84" s="114" t="s">
        <v>491</v>
      </c>
      <c r="C84" s="173"/>
      <c r="D84" s="173"/>
      <c r="E84" s="109"/>
    </row>
    <row r="85" spans="1:5" s="181" customFormat="1" ht="12" customHeight="1" thickBot="1" x14ac:dyDescent="0.25">
      <c r="A85" s="223" t="s">
        <v>231</v>
      </c>
      <c r="B85" s="112" t="s">
        <v>251</v>
      </c>
      <c r="C85" s="169">
        <f>SUM(C86:C89)</f>
        <v>0</v>
      </c>
      <c r="D85" s="169">
        <f>SUM(D86:D89)</f>
        <v>0</v>
      </c>
      <c r="E85" s="105">
        <f>SUM(E86:E89)</f>
        <v>0</v>
      </c>
    </row>
    <row r="86" spans="1:5" s="181" customFormat="1" ht="12" customHeight="1" x14ac:dyDescent="0.2">
      <c r="A86" s="186" t="s">
        <v>232</v>
      </c>
      <c r="B86" s="182" t="s">
        <v>233</v>
      </c>
      <c r="C86" s="173"/>
      <c r="D86" s="173"/>
      <c r="E86" s="109"/>
    </row>
    <row r="87" spans="1:5" s="181" customFormat="1" ht="12" customHeight="1" x14ac:dyDescent="0.2">
      <c r="A87" s="187" t="s">
        <v>234</v>
      </c>
      <c r="B87" s="183" t="s">
        <v>235</v>
      </c>
      <c r="C87" s="173"/>
      <c r="D87" s="173"/>
      <c r="E87" s="109"/>
    </row>
    <row r="88" spans="1:5" s="181" customFormat="1" ht="12" customHeight="1" x14ac:dyDescent="0.2">
      <c r="A88" s="187" t="s">
        <v>236</v>
      </c>
      <c r="B88" s="183" t="s">
        <v>237</v>
      </c>
      <c r="C88" s="173"/>
      <c r="D88" s="173"/>
      <c r="E88" s="109"/>
    </row>
    <row r="89" spans="1:5" s="181" customFormat="1" ht="12" customHeight="1" thickBot="1" x14ac:dyDescent="0.25">
      <c r="A89" s="188" t="s">
        <v>238</v>
      </c>
      <c r="B89" s="114" t="s">
        <v>239</v>
      </c>
      <c r="C89" s="173"/>
      <c r="D89" s="173"/>
      <c r="E89" s="109"/>
    </row>
    <row r="90" spans="1:5" s="181" customFormat="1" ht="12" customHeight="1" thickBot="1" x14ac:dyDescent="0.25">
      <c r="A90" s="223" t="s">
        <v>240</v>
      </c>
      <c r="B90" s="112" t="s">
        <v>376</v>
      </c>
      <c r="C90" s="225"/>
      <c r="D90" s="225"/>
      <c r="E90" s="226"/>
    </row>
    <row r="91" spans="1:5" s="181" customFormat="1" ht="13.5" customHeight="1" thickBot="1" x14ac:dyDescent="0.25">
      <c r="A91" s="223" t="s">
        <v>242</v>
      </c>
      <c r="B91" s="112" t="s">
        <v>241</v>
      </c>
      <c r="C91" s="225"/>
      <c r="D91" s="225"/>
      <c r="E91" s="226"/>
    </row>
    <row r="92" spans="1:5" s="181" customFormat="1" ht="15.75" customHeight="1" thickBot="1" x14ac:dyDescent="0.25">
      <c r="A92" s="223" t="s">
        <v>254</v>
      </c>
      <c r="B92" s="189" t="s">
        <v>379</v>
      </c>
      <c r="C92" s="175">
        <f>+C69+C73+C78+C81+C85+C91+C90</f>
        <v>0</v>
      </c>
      <c r="D92" s="175">
        <f>+D69+D73+D78+D81+D85+D91+D90</f>
        <v>0</v>
      </c>
      <c r="E92" s="211">
        <f>+E69+E73+E78+E81+E85+E91+E90</f>
        <v>0</v>
      </c>
    </row>
    <row r="93" spans="1:5" s="181" customFormat="1" ht="25.5" customHeight="1" thickBot="1" x14ac:dyDescent="0.25">
      <c r="A93" s="224" t="s">
        <v>378</v>
      </c>
      <c r="B93" s="190" t="s">
        <v>380</v>
      </c>
      <c r="C93" s="175">
        <f>+C68+C92</f>
        <v>0</v>
      </c>
      <c r="D93" s="175">
        <f>+D68+D92</f>
        <v>0</v>
      </c>
      <c r="E93" s="211">
        <f>+E68+E92</f>
        <v>0</v>
      </c>
    </row>
    <row r="94" spans="1:5" s="181" customFormat="1" ht="15.2" customHeight="1" x14ac:dyDescent="0.2">
      <c r="A94" s="3"/>
      <c r="B94" s="4"/>
      <c r="C94" s="116"/>
    </row>
    <row r="95" spans="1:5" ht="16.5" customHeight="1" x14ac:dyDescent="0.25">
      <c r="A95" s="829" t="s">
        <v>34</v>
      </c>
      <c r="B95" s="829"/>
      <c r="C95" s="829"/>
      <c r="D95" s="829"/>
      <c r="E95" s="829"/>
    </row>
    <row r="96" spans="1:5" s="191" customFormat="1" ht="16.5" customHeight="1" thickBot="1" x14ac:dyDescent="0.3">
      <c r="A96" s="831" t="s">
        <v>100</v>
      </c>
      <c r="B96" s="831"/>
      <c r="C96" s="63"/>
      <c r="E96" s="63" t="str">
        <f>E7</f>
        <v xml:space="preserve"> Forintban!</v>
      </c>
    </row>
    <row r="97" spans="1:5" x14ac:dyDescent="0.25">
      <c r="A97" s="820" t="s">
        <v>51</v>
      </c>
      <c r="B97" s="822" t="s">
        <v>420</v>
      </c>
      <c r="C97" s="824" t="str">
        <f>+CONCATENATE(LEFT(Z_ÖSSZEFÜGGÉSEK!A6,4),". évi")</f>
        <v>2021. évi</v>
      </c>
      <c r="D97" s="825"/>
      <c r="E97" s="826"/>
    </row>
    <row r="98" spans="1:5" ht="24.75" thickBot="1" x14ac:dyDescent="0.3">
      <c r="A98" s="821"/>
      <c r="B98" s="823"/>
      <c r="C98" s="253" t="s">
        <v>418</v>
      </c>
      <c r="D98" s="252" t="s">
        <v>419</v>
      </c>
      <c r="E98" s="313" t="str">
        <f>CONCATENATE(E9)</f>
        <v>2021. XII. 31.
teljesítés</v>
      </c>
    </row>
    <row r="99" spans="1:5" s="180" customFormat="1" ht="12" customHeight="1" thickBot="1" x14ac:dyDescent="0.25">
      <c r="A99" s="25" t="s">
        <v>385</v>
      </c>
      <c r="B99" s="26" t="s">
        <v>386</v>
      </c>
      <c r="C99" s="26" t="s">
        <v>387</v>
      </c>
      <c r="D99" s="26" t="s">
        <v>389</v>
      </c>
      <c r="E99" s="264" t="s">
        <v>388</v>
      </c>
    </row>
    <row r="100" spans="1:5" ht="12" customHeight="1" thickBot="1" x14ac:dyDescent="0.3">
      <c r="A100" s="20" t="s">
        <v>6</v>
      </c>
      <c r="B100" s="24" t="s">
        <v>338</v>
      </c>
      <c r="C100" s="168">
        <f>C101+C102+C103+C104+C105+C118</f>
        <v>0</v>
      </c>
      <c r="D100" s="168">
        <f>D101+D102+D103+D104+D105+D118</f>
        <v>0</v>
      </c>
      <c r="E100" s="239">
        <f>E101+E102+E103+E104+E105+E118</f>
        <v>0</v>
      </c>
    </row>
    <row r="101" spans="1:5" ht="12" customHeight="1" x14ac:dyDescent="0.25">
      <c r="A101" s="15" t="s">
        <v>63</v>
      </c>
      <c r="B101" s="8" t="s">
        <v>35</v>
      </c>
      <c r="C101" s="246"/>
      <c r="D101" s="246"/>
      <c r="E101" s="240"/>
    </row>
    <row r="102" spans="1:5" ht="12" customHeight="1" x14ac:dyDescent="0.25">
      <c r="A102" s="12" t="s">
        <v>64</v>
      </c>
      <c r="B102" s="6" t="s">
        <v>121</v>
      </c>
      <c r="C102" s="170"/>
      <c r="D102" s="170"/>
      <c r="E102" s="106"/>
    </row>
    <row r="103" spans="1:5" ht="12" customHeight="1" x14ac:dyDescent="0.25">
      <c r="A103" s="12" t="s">
        <v>65</v>
      </c>
      <c r="B103" s="6" t="s">
        <v>89</v>
      </c>
      <c r="C103" s="172"/>
      <c r="D103" s="172"/>
      <c r="E103" s="108"/>
    </row>
    <row r="104" spans="1:5" ht="12" customHeight="1" x14ac:dyDescent="0.25">
      <c r="A104" s="12" t="s">
        <v>66</v>
      </c>
      <c r="B104" s="9" t="s">
        <v>122</v>
      </c>
      <c r="C104" s="172"/>
      <c r="D104" s="172"/>
      <c r="E104" s="108"/>
    </row>
    <row r="105" spans="1:5" ht="12" customHeight="1" x14ac:dyDescent="0.25">
      <c r="A105" s="12" t="s">
        <v>75</v>
      </c>
      <c r="B105" s="17" t="s">
        <v>123</v>
      </c>
      <c r="C105" s="172"/>
      <c r="D105" s="172"/>
      <c r="E105" s="108"/>
    </row>
    <row r="106" spans="1:5" ht="12" customHeight="1" x14ac:dyDescent="0.25">
      <c r="A106" s="12" t="s">
        <v>67</v>
      </c>
      <c r="B106" s="6" t="s">
        <v>343</v>
      </c>
      <c r="C106" s="172"/>
      <c r="D106" s="172"/>
      <c r="E106" s="108"/>
    </row>
    <row r="107" spans="1:5" ht="12" customHeight="1" x14ac:dyDescent="0.25">
      <c r="A107" s="12" t="s">
        <v>68</v>
      </c>
      <c r="B107" s="67" t="s">
        <v>342</v>
      </c>
      <c r="C107" s="172"/>
      <c r="D107" s="172"/>
      <c r="E107" s="108"/>
    </row>
    <row r="108" spans="1:5" ht="12" customHeight="1" x14ac:dyDescent="0.25">
      <c r="A108" s="12" t="s">
        <v>76</v>
      </c>
      <c r="B108" s="67" t="s">
        <v>341</v>
      </c>
      <c r="C108" s="172"/>
      <c r="D108" s="172"/>
      <c r="E108" s="108"/>
    </row>
    <row r="109" spans="1:5" ht="12" customHeight="1" x14ac:dyDescent="0.25">
      <c r="A109" s="12" t="s">
        <v>77</v>
      </c>
      <c r="B109" s="65" t="s">
        <v>257</v>
      </c>
      <c r="C109" s="172"/>
      <c r="D109" s="172"/>
      <c r="E109" s="108"/>
    </row>
    <row r="110" spans="1:5" ht="12" customHeight="1" x14ac:dyDescent="0.25">
      <c r="A110" s="12" t="s">
        <v>78</v>
      </c>
      <c r="B110" s="66" t="s">
        <v>258</v>
      </c>
      <c r="C110" s="172"/>
      <c r="D110" s="172"/>
      <c r="E110" s="108"/>
    </row>
    <row r="111" spans="1:5" ht="12" customHeight="1" x14ac:dyDescent="0.25">
      <c r="A111" s="12" t="s">
        <v>79</v>
      </c>
      <c r="B111" s="66" t="s">
        <v>259</v>
      </c>
      <c r="C111" s="172"/>
      <c r="D111" s="172"/>
      <c r="E111" s="108"/>
    </row>
    <row r="112" spans="1:5" ht="12" customHeight="1" x14ac:dyDescent="0.25">
      <c r="A112" s="12" t="s">
        <v>81</v>
      </c>
      <c r="B112" s="65" t="s">
        <v>260</v>
      </c>
      <c r="C112" s="172"/>
      <c r="D112" s="172"/>
      <c r="E112" s="108"/>
    </row>
    <row r="113" spans="1:5" ht="12" customHeight="1" x14ac:dyDescent="0.25">
      <c r="A113" s="12" t="s">
        <v>124</v>
      </c>
      <c r="B113" s="65" t="s">
        <v>261</v>
      </c>
      <c r="C113" s="172"/>
      <c r="D113" s="172"/>
      <c r="E113" s="108"/>
    </row>
    <row r="114" spans="1:5" ht="12" customHeight="1" x14ac:dyDescent="0.25">
      <c r="A114" s="12" t="s">
        <v>255</v>
      </c>
      <c r="B114" s="66" t="s">
        <v>262</v>
      </c>
      <c r="C114" s="172"/>
      <c r="D114" s="172"/>
      <c r="E114" s="108"/>
    </row>
    <row r="115" spans="1:5" ht="12" customHeight="1" x14ac:dyDescent="0.25">
      <c r="A115" s="11" t="s">
        <v>256</v>
      </c>
      <c r="B115" s="67" t="s">
        <v>263</v>
      </c>
      <c r="C115" s="172"/>
      <c r="D115" s="172"/>
      <c r="E115" s="108"/>
    </row>
    <row r="116" spans="1:5" ht="12" customHeight="1" x14ac:dyDescent="0.25">
      <c r="A116" s="12" t="s">
        <v>339</v>
      </c>
      <c r="B116" s="67" t="s">
        <v>264</v>
      </c>
      <c r="C116" s="172"/>
      <c r="D116" s="172"/>
      <c r="E116" s="108"/>
    </row>
    <row r="117" spans="1:5" ht="12" customHeight="1" x14ac:dyDescent="0.25">
      <c r="A117" s="14" t="s">
        <v>340</v>
      </c>
      <c r="B117" s="67" t="s">
        <v>265</v>
      </c>
      <c r="C117" s="172"/>
      <c r="D117" s="172"/>
      <c r="E117" s="108"/>
    </row>
    <row r="118" spans="1:5" ht="12" customHeight="1" x14ac:dyDescent="0.25">
      <c r="A118" s="12" t="s">
        <v>344</v>
      </c>
      <c r="B118" s="9" t="s">
        <v>36</v>
      </c>
      <c r="C118" s="170"/>
      <c r="D118" s="170"/>
      <c r="E118" s="106"/>
    </row>
    <row r="119" spans="1:5" ht="12" customHeight="1" x14ac:dyDescent="0.25">
      <c r="A119" s="12" t="s">
        <v>345</v>
      </c>
      <c r="B119" s="6" t="s">
        <v>347</v>
      </c>
      <c r="C119" s="170"/>
      <c r="D119" s="170"/>
      <c r="E119" s="106"/>
    </row>
    <row r="120" spans="1:5" ht="12" customHeight="1" thickBot="1" x14ac:dyDescent="0.3">
      <c r="A120" s="16" t="s">
        <v>346</v>
      </c>
      <c r="B120" s="235" t="s">
        <v>348</v>
      </c>
      <c r="C120" s="247"/>
      <c r="D120" s="247"/>
      <c r="E120" s="241"/>
    </row>
    <row r="121" spans="1:5" ht="12" customHeight="1" thickBot="1" x14ac:dyDescent="0.3">
      <c r="A121" s="233" t="s">
        <v>7</v>
      </c>
      <c r="B121" s="234" t="s">
        <v>266</v>
      </c>
      <c r="C121" s="248">
        <f>+C122+C124+C126</f>
        <v>0</v>
      </c>
      <c r="D121" s="169">
        <f>+D122+D124+D126</f>
        <v>0</v>
      </c>
      <c r="E121" s="242">
        <f>+E122+E124+E126</f>
        <v>0</v>
      </c>
    </row>
    <row r="122" spans="1:5" ht="12" customHeight="1" x14ac:dyDescent="0.25">
      <c r="A122" s="13" t="s">
        <v>69</v>
      </c>
      <c r="B122" s="6" t="s">
        <v>142</v>
      </c>
      <c r="C122" s="171"/>
      <c r="D122" s="257"/>
      <c r="E122" s="107"/>
    </row>
    <row r="123" spans="1:5" ht="12" customHeight="1" x14ac:dyDescent="0.25">
      <c r="A123" s="13" t="s">
        <v>70</v>
      </c>
      <c r="B123" s="10" t="s">
        <v>270</v>
      </c>
      <c r="C123" s="171"/>
      <c r="D123" s="257"/>
      <c r="E123" s="107"/>
    </row>
    <row r="124" spans="1:5" ht="12" customHeight="1" x14ac:dyDescent="0.25">
      <c r="A124" s="13" t="s">
        <v>71</v>
      </c>
      <c r="B124" s="10" t="s">
        <v>125</v>
      </c>
      <c r="C124" s="170"/>
      <c r="D124" s="258"/>
      <c r="E124" s="106"/>
    </row>
    <row r="125" spans="1:5" ht="12" customHeight="1" x14ac:dyDescent="0.25">
      <c r="A125" s="13" t="s">
        <v>72</v>
      </c>
      <c r="B125" s="10" t="s">
        <v>271</v>
      </c>
      <c r="C125" s="170"/>
      <c r="D125" s="258"/>
      <c r="E125" s="106"/>
    </row>
    <row r="126" spans="1:5" ht="12" customHeight="1" x14ac:dyDescent="0.25">
      <c r="A126" s="13" t="s">
        <v>73</v>
      </c>
      <c r="B126" s="114" t="s">
        <v>144</v>
      </c>
      <c r="C126" s="170"/>
      <c r="D126" s="258"/>
      <c r="E126" s="106"/>
    </row>
    <row r="127" spans="1:5" ht="12" customHeight="1" x14ac:dyDescent="0.25">
      <c r="A127" s="13" t="s">
        <v>80</v>
      </c>
      <c r="B127" s="113" t="s">
        <v>331</v>
      </c>
      <c r="C127" s="170"/>
      <c r="D127" s="258"/>
      <c r="E127" s="106"/>
    </row>
    <row r="128" spans="1:5" ht="12" customHeight="1" x14ac:dyDescent="0.25">
      <c r="A128" s="13" t="s">
        <v>82</v>
      </c>
      <c r="B128" s="178" t="s">
        <v>276</v>
      </c>
      <c r="C128" s="170"/>
      <c r="D128" s="258"/>
      <c r="E128" s="106"/>
    </row>
    <row r="129" spans="1:5" x14ac:dyDescent="0.25">
      <c r="A129" s="13" t="s">
        <v>126</v>
      </c>
      <c r="B129" s="66" t="s">
        <v>259</v>
      </c>
      <c r="C129" s="170"/>
      <c r="D129" s="258"/>
      <c r="E129" s="106"/>
    </row>
    <row r="130" spans="1:5" ht="12" customHeight="1" x14ac:dyDescent="0.25">
      <c r="A130" s="13" t="s">
        <v>127</v>
      </c>
      <c r="B130" s="66" t="s">
        <v>275</v>
      </c>
      <c r="C130" s="170"/>
      <c r="D130" s="258"/>
      <c r="E130" s="106"/>
    </row>
    <row r="131" spans="1:5" ht="12" customHeight="1" x14ac:dyDescent="0.25">
      <c r="A131" s="13" t="s">
        <v>128</v>
      </c>
      <c r="B131" s="66" t="s">
        <v>274</v>
      </c>
      <c r="C131" s="170"/>
      <c r="D131" s="258"/>
      <c r="E131" s="106"/>
    </row>
    <row r="132" spans="1:5" ht="12" customHeight="1" x14ac:dyDescent="0.25">
      <c r="A132" s="13" t="s">
        <v>267</v>
      </c>
      <c r="B132" s="66" t="s">
        <v>262</v>
      </c>
      <c r="C132" s="170"/>
      <c r="D132" s="258"/>
      <c r="E132" s="106"/>
    </row>
    <row r="133" spans="1:5" ht="12" customHeight="1" x14ac:dyDescent="0.25">
      <c r="A133" s="13" t="s">
        <v>268</v>
      </c>
      <c r="B133" s="66" t="s">
        <v>273</v>
      </c>
      <c r="C133" s="170"/>
      <c r="D133" s="258"/>
      <c r="E133" s="106"/>
    </row>
    <row r="134" spans="1:5" ht="16.5" thickBot="1" x14ac:dyDescent="0.3">
      <c r="A134" s="11" t="s">
        <v>269</v>
      </c>
      <c r="B134" s="66" t="s">
        <v>272</v>
      </c>
      <c r="C134" s="172"/>
      <c r="D134" s="259"/>
      <c r="E134" s="108"/>
    </row>
    <row r="135" spans="1:5" ht="12" customHeight="1" thickBot="1" x14ac:dyDescent="0.3">
      <c r="A135" s="18" t="s">
        <v>8</v>
      </c>
      <c r="B135" s="59" t="s">
        <v>349</v>
      </c>
      <c r="C135" s="169">
        <f>+C100+C121</f>
        <v>0</v>
      </c>
      <c r="D135" s="256">
        <f>+D100+D121</f>
        <v>0</v>
      </c>
      <c r="E135" s="105">
        <f>+E100+E121</f>
        <v>0</v>
      </c>
    </row>
    <row r="136" spans="1:5" ht="12" customHeight="1" thickBot="1" x14ac:dyDescent="0.3">
      <c r="A136" s="18" t="s">
        <v>9</v>
      </c>
      <c r="B136" s="59" t="s">
        <v>421</v>
      </c>
      <c r="C136" s="169">
        <f>+C137+C138+C139</f>
        <v>0</v>
      </c>
      <c r="D136" s="256">
        <f>+D137+D138+D139</f>
        <v>0</v>
      </c>
      <c r="E136" s="105">
        <f>+E137+E138+E139</f>
        <v>0</v>
      </c>
    </row>
    <row r="137" spans="1:5" ht="12" customHeight="1" x14ac:dyDescent="0.25">
      <c r="A137" s="13" t="s">
        <v>176</v>
      </c>
      <c r="B137" s="10" t="s">
        <v>357</v>
      </c>
      <c r="C137" s="170"/>
      <c r="D137" s="258"/>
      <c r="E137" s="106"/>
    </row>
    <row r="138" spans="1:5" ht="12" customHeight="1" x14ac:dyDescent="0.25">
      <c r="A138" s="13" t="s">
        <v>177</v>
      </c>
      <c r="B138" s="10" t="s">
        <v>358</v>
      </c>
      <c r="C138" s="170"/>
      <c r="D138" s="258"/>
      <c r="E138" s="106"/>
    </row>
    <row r="139" spans="1:5" ht="12" customHeight="1" thickBot="1" x14ac:dyDescent="0.3">
      <c r="A139" s="11" t="s">
        <v>178</v>
      </c>
      <c r="B139" s="10" t="s">
        <v>359</v>
      </c>
      <c r="C139" s="170"/>
      <c r="D139" s="258"/>
      <c r="E139" s="106"/>
    </row>
    <row r="140" spans="1:5" ht="12" customHeight="1" thickBot="1" x14ac:dyDescent="0.3">
      <c r="A140" s="18" t="s">
        <v>10</v>
      </c>
      <c r="B140" s="59" t="s">
        <v>351</v>
      </c>
      <c r="C140" s="169">
        <f>SUM(C141:C146)</f>
        <v>0</v>
      </c>
      <c r="D140" s="256">
        <f>SUM(D141:D146)</f>
        <v>0</v>
      </c>
      <c r="E140" s="105">
        <f>SUM(E141:E146)</f>
        <v>0</v>
      </c>
    </row>
    <row r="141" spans="1:5" ht="12" customHeight="1" x14ac:dyDescent="0.25">
      <c r="A141" s="13" t="s">
        <v>56</v>
      </c>
      <c r="B141" s="7" t="s">
        <v>360</v>
      </c>
      <c r="C141" s="170"/>
      <c r="D141" s="258"/>
      <c r="E141" s="106"/>
    </row>
    <row r="142" spans="1:5" ht="12" customHeight="1" x14ac:dyDescent="0.25">
      <c r="A142" s="13" t="s">
        <v>57</v>
      </c>
      <c r="B142" s="7" t="s">
        <v>352</v>
      </c>
      <c r="C142" s="170"/>
      <c r="D142" s="258"/>
      <c r="E142" s="106"/>
    </row>
    <row r="143" spans="1:5" ht="12" customHeight="1" x14ac:dyDescent="0.25">
      <c r="A143" s="13" t="s">
        <v>58</v>
      </c>
      <c r="B143" s="7" t="s">
        <v>353</v>
      </c>
      <c r="C143" s="170"/>
      <c r="D143" s="258"/>
      <c r="E143" s="106"/>
    </row>
    <row r="144" spans="1:5" ht="12" customHeight="1" x14ac:dyDescent="0.25">
      <c r="A144" s="13" t="s">
        <v>113</v>
      </c>
      <c r="B144" s="7" t="s">
        <v>354</v>
      </c>
      <c r="C144" s="170"/>
      <c r="D144" s="258"/>
      <c r="E144" s="106"/>
    </row>
    <row r="145" spans="1:9" ht="12" customHeight="1" x14ac:dyDescent="0.25">
      <c r="A145" s="13" t="s">
        <v>114</v>
      </c>
      <c r="B145" s="7" t="s">
        <v>355</v>
      </c>
      <c r="C145" s="170"/>
      <c r="D145" s="258"/>
      <c r="E145" s="106"/>
    </row>
    <row r="146" spans="1:9" ht="12" customHeight="1" thickBot="1" x14ac:dyDescent="0.3">
      <c r="A146" s="16" t="s">
        <v>115</v>
      </c>
      <c r="B146" s="319" t="s">
        <v>356</v>
      </c>
      <c r="C146" s="247"/>
      <c r="D146" s="296"/>
      <c r="E146" s="241"/>
    </row>
    <row r="147" spans="1:9" ht="12" customHeight="1" thickBot="1" x14ac:dyDescent="0.3">
      <c r="A147" s="18" t="s">
        <v>11</v>
      </c>
      <c r="B147" s="59" t="s">
        <v>364</v>
      </c>
      <c r="C147" s="175">
        <f>+C148+C149+C150+C151</f>
        <v>0</v>
      </c>
      <c r="D147" s="260">
        <f>+D148+D149+D150+D151</f>
        <v>0</v>
      </c>
      <c r="E147" s="211">
        <f>+E148+E149+E150+E151</f>
        <v>0</v>
      </c>
    </row>
    <row r="148" spans="1:9" ht="12" customHeight="1" x14ac:dyDescent="0.25">
      <c r="A148" s="13" t="s">
        <v>59</v>
      </c>
      <c r="B148" s="7" t="s">
        <v>277</v>
      </c>
      <c r="C148" s="170"/>
      <c r="D148" s="258"/>
      <c r="E148" s="106"/>
    </row>
    <row r="149" spans="1:9" ht="12" customHeight="1" x14ac:dyDescent="0.25">
      <c r="A149" s="13" t="s">
        <v>60</v>
      </c>
      <c r="B149" s="7" t="s">
        <v>278</v>
      </c>
      <c r="C149" s="170"/>
      <c r="D149" s="258"/>
      <c r="E149" s="106"/>
    </row>
    <row r="150" spans="1:9" ht="12" customHeight="1" x14ac:dyDescent="0.25">
      <c r="A150" s="13" t="s">
        <v>194</v>
      </c>
      <c r="B150" s="7" t="s">
        <v>365</v>
      </c>
      <c r="C150" s="170"/>
      <c r="D150" s="258"/>
      <c r="E150" s="106"/>
    </row>
    <row r="151" spans="1:9" ht="12" customHeight="1" thickBot="1" x14ac:dyDescent="0.3">
      <c r="A151" s="11" t="s">
        <v>195</v>
      </c>
      <c r="B151" s="5" t="s">
        <v>294</v>
      </c>
      <c r="C151" s="170"/>
      <c r="D151" s="258"/>
      <c r="E151" s="106"/>
    </row>
    <row r="152" spans="1:9" ht="12" customHeight="1" thickBot="1" x14ac:dyDescent="0.3">
      <c r="A152" s="18" t="s">
        <v>12</v>
      </c>
      <c r="B152" s="59" t="s">
        <v>366</v>
      </c>
      <c r="C152" s="249">
        <f>SUM(C153:C157)</f>
        <v>0</v>
      </c>
      <c r="D152" s="261">
        <f>SUM(D153:D157)</f>
        <v>0</v>
      </c>
      <c r="E152" s="243">
        <f>SUM(E153:E157)</f>
        <v>0</v>
      </c>
    </row>
    <row r="153" spans="1:9" ht="12" customHeight="1" x14ac:dyDescent="0.25">
      <c r="A153" s="13" t="s">
        <v>61</v>
      </c>
      <c r="B153" s="7" t="s">
        <v>361</v>
      </c>
      <c r="C153" s="170"/>
      <c r="D153" s="258"/>
      <c r="E153" s="106"/>
    </row>
    <row r="154" spans="1:9" ht="12" customHeight="1" x14ac:dyDescent="0.25">
      <c r="A154" s="13" t="s">
        <v>62</v>
      </c>
      <c r="B154" s="7" t="s">
        <v>368</v>
      </c>
      <c r="C154" s="170"/>
      <c r="D154" s="258"/>
      <c r="E154" s="106"/>
    </row>
    <row r="155" spans="1:9" ht="12" customHeight="1" x14ac:dyDescent="0.25">
      <c r="A155" s="13" t="s">
        <v>206</v>
      </c>
      <c r="B155" s="7" t="s">
        <v>363</v>
      </c>
      <c r="C155" s="170"/>
      <c r="D155" s="258"/>
      <c r="E155" s="106"/>
    </row>
    <row r="156" spans="1:9" ht="12" customHeight="1" x14ac:dyDescent="0.25">
      <c r="A156" s="13" t="s">
        <v>207</v>
      </c>
      <c r="B156" s="7" t="s">
        <v>369</v>
      </c>
      <c r="C156" s="170"/>
      <c r="D156" s="258"/>
      <c r="E156" s="106"/>
    </row>
    <row r="157" spans="1:9" ht="12" customHeight="1" thickBot="1" x14ac:dyDescent="0.3">
      <c r="A157" s="13" t="s">
        <v>367</v>
      </c>
      <c r="B157" s="7" t="s">
        <v>370</v>
      </c>
      <c r="C157" s="170"/>
      <c r="D157" s="258"/>
      <c r="E157" s="106"/>
    </row>
    <row r="158" spans="1:9" ht="12" customHeight="1" thickBot="1" x14ac:dyDescent="0.3">
      <c r="A158" s="18" t="s">
        <v>13</v>
      </c>
      <c r="B158" s="59" t="s">
        <v>371</v>
      </c>
      <c r="C158" s="250"/>
      <c r="D158" s="262"/>
      <c r="E158" s="244"/>
    </row>
    <row r="159" spans="1:9" ht="12" customHeight="1" thickBot="1" x14ac:dyDescent="0.3">
      <c r="A159" s="18" t="s">
        <v>14</v>
      </c>
      <c r="B159" s="59" t="s">
        <v>372</v>
      </c>
      <c r="C159" s="250"/>
      <c r="D159" s="262"/>
      <c r="E159" s="244"/>
    </row>
    <row r="160" spans="1:9" ht="15.2" customHeight="1" thickBot="1" x14ac:dyDescent="0.3">
      <c r="A160" s="18" t="s">
        <v>15</v>
      </c>
      <c r="B160" s="59" t="s">
        <v>374</v>
      </c>
      <c r="C160" s="251">
        <f>+C136+C140+C147+C152+C158+C159</f>
        <v>0</v>
      </c>
      <c r="D160" s="263">
        <f>+D136+D140+D147+D152+D158+D159</f>
        <v>0</v>
      </c>
      <c r="E160" s="245">
        <f>+E136+E140+E147+E152+E158+E159</f>
        <v>0</v>
      </c>
      <c r="F160" s="192"/>
      <c r="G160" s="193"/>
      <c r="H160" s="193"/>
      <c r="I160" s="193"/>
    </row>
    <row r="161" spans="1:5" s="181" customFormat="1" ht="12.95" customHeight="1" thickBot="1" x14ac:dyDescent="0.25">
      <c r="A161" s="115" t="s">
        <v>16</v>
      </c>
      <c r="B161" s="156" t="s">
        <v>373</v>
      </c>
      <c r="C161" s="251">
        <f>+C135+C160</f>
        <v>0</v>
      </c>
      <c r="D161" s="263">
        <f>+D135+D160</f>
        <v>0</v>
      </c>
      <c r="E161" s="245">
        <f>+E135+E160</f>
        <v>0</v>
      </c>
    </row>
    <row r="162" spans="1:5" x14ac:dyDescent="0.25">
      <c r="C162" s="629">
        <f>C93-C161</f>
        <v>0</v>
      </c>
      <c r="D162" s="629">
        <f>D93-D161</f>
        <v>0</v>
      </c>
    </row>
    <row r="163" spans="1:5" x14ac:dyDescent="0.25">
      <c r="A163" s="827" t="s">
        <v>279</v>
      </c>
      <c r="B163" s="827"/>
      <c r="C163" s="827"/>
      <c r="D163" s="827"/>
      <c r="E163" s="827"/>
    </row>
    <row r="164" spans="1:5" ht="15.2" customHeight="1" thickBot="1" x14ac:dyDescent="0.3">
      <c r="A164" s="819" t="s">
        <v>101</v>
      </c>
      <c r="B164" s="819"/>
      <c r="C164" s="117"/>
      <c r="E164" s="117" t="str">
        <f>E96</f>
        <v xml:space="preserve"> Forintban!</v>
      </c>
    </row>
    <row r="165" spans="1:5" ht="25.5" customHeight="1" thickBot="1" x14ac:dyDescent="0.3">
      <c r="A165" s="18">
        <v>1</v>
      </c>
      <c r="B165" s="23" t="s">
        <v>375</v>
      </c>
      <c r="C165" s="255">
        <f>+C68-C135</f>
        <v>0</v>
      </c>
      <c r="D165" s="169">
        <f>+D68-D135</f>
        <v>0</v>
      </c>
      <c r="E165" s="105">
        <f>+E68-E135</f>
        <v>0</v>
      </c>
    </row>
    <row r="166" spans="1:5" ht="32.450000000000003" customHeight="1" thickBot="1" x14ac:dyDescent="0.3">
      <c r="A166" s="18" t="s">
        <v>7</v>
      </c>
      <c r="B166" s="23" t="s">
        <v>381</v>
      </c>
      <c r="C166" s="169">
        <f>+C92-C160</f>
        <v>0</v>
      </c>
      <c r="D166" s="169">
        <f>+D92-D160</f>
        <v>0</v>
      </c>
      <c r="E166" s="105">
        <f>+E92-E160</f>
        <v>0</v>
      </c>
    </row>
  </sheetData>
  <sheetProtection sheet="1"/>
  <mergeCells count="16">
    <mergeCell ref="B1:E1"/>
    <mergeCell ref="A2:E2"/>
    <mergeCell ref="A3:E3"/>
    <mergeCell ref="A4:E4"/>
    <mergeCell ref="A6:E6"/>
    <mergeCell ref="A7:B7"/>
    <mergeCell ref="A163:E163"/>
    <mergeCell ref="A164:B164"/>
    <mergeCell ref="A8:A9"/>
    <mergeCell ref="B8:B9"/>
    <mergeCell ref="C8:E8"/>
    <mergeCell ref="A95:E95"/>
    <mergeCell ref="A96:B96"/>
    <mergeCell ref="A97:A98"/>
    <mergeCell ref="B97:B98"/>
    <mergeCell ref="C97:E97"/>
  </mergeCells>
  <printOptions horizontalCentered="1"/>
  <pageMargins left="0.6692913385826772" right="0.6692913385826772" top="0.86614173228346458" bottom="0.86614173228346458" header="0" footer="0"/>
  <pageSetup paperSize="9" scale="72" fitToHeight="2" orientation="portrait" r:id="rId1"/>
  <headerFooter alignWithMargins="0"/>
  <rowBreaks count="2" manualBreakCount="2">
    <brk id="68" max="4" man="1"/>
    <brk id="146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57074-E6F0-4719-B6F2-CFF6F29BD3AE}">
  <sheetPr>
    <tabColor theme="0" tint="-0.499984740745262"/>
  </sheetPr>
  <dimension ref="A1:I166"/>
  <sheetViews>
    <sheetView topLeftCell="A10" zoomScale="120" zoomScaleNormal="120" zoomScaleSheetLayoutView="100" workbookViewId="0">
      <selection activeCell="B37" sqref="B37"/>
    </sheetView>
  </sheetViews>
  <sheetFormatPr defaultRowHeight="15.75" x14ac:dyDescent="0.25"/>
  <cols>
    <col min="1" max="1" width="9.5" style="157" customWidth="1"/>
    <col min="2" max="2" width="65.83203125" style="157" customWidth="1"/>
    <col min="3" max="3" width="17.83203125" style="158" customWidth="1"/>
    <col min="4" max="5" width="17.83203125" style="179" customWidth="1"/>
    <col min="6" max="16384" width="9.33203125" style="179"/>
  </cols>
  <sheetData>
    <row r="1" spans="1:5" x14ac:dyDescent="0.25">
      <c r="A1" s="320"/>
      <c r="B1" s="814" t="str">
        <f>CONCATENATE("1.4. melléklet ",Z_ALAPADATOK!A7," ",Z_ALAPADATOK!B7," ",Z_ALAPADATOK!C7," ",Z_ALAPADATOK!D7," ",Z_ALAPADATOK!E7," ",Z_ALAPADATOK!F7," ",Z_ALAPADATOK!G7," ",Z_ALAPADATOK!H7)</f>
        <v>1.4. melléklet a … / 2022. ( … ) önkormányzati rendelethez</v>
      </c>
      <c r="C1" s="815"/>
      <c r="D1" s="815"/>
      <c r="E1" s="815"/>
    </row>
    <row r="2" spans="1:5" x14ac:dyDescent="0.25">
      <c r="A2" s="816" t="str">
        <f>CONCATENATE(Z_ALAPADATOK!A3)</f>
        <v>Sajószöged Községi Önkormányzat</v>
      </c>
      <c r="B2" s="817"/>
      <c r="C2" s="817"/>
      <c r="D2" s="817"/>
      <c r="E2" s="817"/>
    </row>
    <row r="3" spans="1:5" x14ac:dyDescent="0.25">
      <c r="A3" s="808" t="str">
        <f>CONCATENATE(Z_ALAPADATOK!B1,". ÉVI ZÁRSZÁMADÁS")</f>
        <v>2021. ÉVI ZÁRSZÁMADÁS</v>
      </c>
      <c r="B3" s="808"/>
      <c r="C3" s="808"/>
      <c r="D3" s="808"/>
      <c r="E3" s="808"/>
    </row>
    <row r="4" spans="1:5" ht="17.25" customHeight="1" x14ac:dyDescent="0.25">
      <c r="A4" s="808" t="s">
        <v>846</v>
      </c>
      <c r="B4" s="808"/>
      <c r="C4" s="808"/>
      <c r="D4" s="808"/>
      <c r="E4" s="808"/>
    </row>
    <row r="5" spans="1:5" x14ac:dyDescent="0.25">
      <c r="A5" s="320"/>
      <c r="B5" s="320"/>
      <c r="C5" s="321"/>
      <c r="D5" s="322"/>
      <c r="E5" s="322"/>
    </row>
    <row r="6" spans="1:5" ht="15.95" customHeight="1" x14ac:dyDescent="0.25">
      <c r="A6" s="828" t="s">
        <v>3</v>
      </c>
      <c r="B6" s="828"/>
      <c r="C6" s="828"/>
      <c r="D6" s="828"/>
      <c r="E6" s="828"/>
    </row>
    <row r="7" spans="1:5" ht="15.95" customHeight="1" thickBot="1" x14ac:dyDescent="0.3">
      <c r="A7" s="830" t="s">
        <v>99</v>
      </c>
      <c r="B7" s="830"/>
      <c r="C7" s="323"/>
      <c r="D7" s="322"/>
      <c r="E7" s="323" t="str">
        <f>CONCATENATE('Z_1.3.sz.mell.'!E7)</f>
        <v xml:space="preserve"> Forintban!</v>
      </c>
    </row>
    <row r="8" spans="1:5" x14ac:dyDescent="0.25">
      <c r="A8" s="820" t="s">
        <v>51</v>
      </c>
      <c r="B8" s="822" t="s">
        <v>5</v>
      </c>
      <c r="C8" s="824" t="str">
        <f>+CONCATENATE(LEFT(Z_ÖSSZEFÜGGÉSEK!A6,4),". évi")</f>
        <v>2021. évi</v>
      </c>
      <c r="D8" s="825"/>
      <c r="E8" s="826"/>
    </row>
    <row r="9" spans="1:5" ht="24.75" thickBot="1" x14ac:dyDescent="0.3">
      <c r="A9" s="821"/>
      <c r="B9" s="823"/>
      <c r="C9" s="253" t="s">
        <v>418</v>
      </c>
      <c r="D9" s="252" t="s">
        <v>419</v>
      </c>
      <c r="E9" s="313" t="str">
        <f>CONCATENATE('Z_1.3.sz.mell.'!E9)</f>
        <v>2021. XII. 31.
teljesítés</v>
      </c>
    </row>
    <row r="10" spans="1:5" s="180" customFormat="1" ht="12" customHeight="1" thickBot="1" x14ac:dyDescent="0.25">
      <c r="A10" s="176" t="s">
        <v>385</v>
      </c>
      <c r="B10" s="177" t="s">
        <v>386</v>
      </c>
      <c r="C10" s="177" t="s">
        <v>387</v>
      </c>
      <c r="D10" s="177" t="s">
        <v>389</v>
      </c>
      <c r="E10" s="254" t="s">
        <v>388</v>
      </c>
    </row>
    <row r="11" spans="1:5" s="181" customFormat="1" ht="12" customHeight="1" thickBot="1" x14ac:dyDescent="0.25">
      <c r="A11" s="18" t="s">
        <v>6</v>
      </c>
      <c r="B11" s="19" t="s">
        <v>161</v>
      </c>
      <c r="C11" s="169">
        <f>+C12+C13+C14+C15+C16+C17</f>
        <v>0</v>
      </c>
      <c r="D11" s="169">
        <f>+D12+D13+D14+D15+D16+D17</f>
        <v>0</v>
      </c>
      <c r="E11" s="105">
        <f>+E12+E13+E14+E15+E16+E17</f>
        <v>0</v>
      </c>
    </row>
    <row r="12" spans="1:5" s="181" customFormat="1" ht="12" customHeight="1" x14ac:dyDescent="0.2">
      <c r="A12" s="13" t="s">
        <v>63</v>
      </c>
      <c r="B12" s="182" t="s">
        <v>162</v>
      </c>
      <c r="C12" s="171"/>
      <c r="D12" s="171"/>
      <c r="E12" s="107"/>
    </row>
    <row r="13" spans="1:5" s="181" customFormat="1" ht="12" customHeight="1" x14ac:dyDescent="0.2">
      <c r="A13" s="12" t="s">
        <v>64</v>
      </c>
      <c r="B13" s="183" t="s">
        <v>163</v>
      </c>
      <c r="C13" s="170"/>
      <c r="D13" s="170"/>
      <c r="E13" s="106"/>
    </row>
    <row r="14" spans="1:5" s="181" customFormat="1" ht="12" customHeight="1" x14ac:dyDescent="0.2">
      <c r="A14" s="12" t="s">
        <v>65</v>
      </c>
      <c r="B14" s="183" t="s">
        <v>164</v>
      </c>
      <c r="C14" s="170"/>
      <c r="D14" s="170"/>
      <c r="E14" s="106"/>
    </row>
    <row r="15" spans="1:5" s="181" customFormat="1" ht="12" customHeight="1" x14ac:dyDescent="0.2">
      <c r="A15" s="12" t="s">
        <v>66</v>
      </c>
      <c r="B15" s="183" t="s">
        <v>165</v>
      </c>
      <c r="C15" s="170"/>
      <c r="D15" s="170"/>
      <c r="E15" s="106"/>
    </row>
    <row r="16" spans="1:5" s="181" customFormat="1" ht="12" customHeight="1" x14ac:dyDescent="0.2">
      <c r="A16" s="12" t="s">
        <v>96</v>
      </c>
      <c r="B16" s="113" t="s">
        <v>333</v>
      </c>
      <c r="C16" s="170"/>
      <c r="D16" s="170"/>
      <c r="E16" s="106"/>
    </row>
    <row r="17" spans="1:5" s="181" customFormat="1" ht="12" customHeight="1" thickBot="1" x14ac:dyDescent="0.25">
      <c r="A17" s="14" t="s">
        <v>67</v>
      </c>
      <c r="B17" s="114" t="s">
        <v>334</v>
      </c>
      <c r="C17" s="170"/>
      <c r="D17" s="170"/>
      <c r="E17" s="106"/>
    </row>
    <row r="18" spans="1:5" s="181" customFormat="1" ht="12" customHeight="1" thickBot="1" x14ac:dyDescent="0.25">
      <c r="A18" s="18" t="s">
        <v>7</v>
      </c>
      <c r="B18" s="112" t="s">
        <v>166</v>
      </c>
      <c r="C18" s="169">
        <f>+C19+C20+C21+C22+C23</f>
        <v>0</v>
      </c>
      <c r="D18" s="169">
        <f>+D19+D20+D21+D22+D23</f>
        <v>0</v>
      </c>
      <c r="E18" s="105">
        <f>+E19+E20+E21+E22+E23</f>
        <v>0</v>
      </c>
    </row>
    <row r="19" spans="1:5" s="181" customFormat="1" ht="12" customHeight="1" x14ac:dyDescent="0.2">
      <c r="A19" s="13" t="s">
        <v>69</v>
      </c>
      <c r="B19" s="182" t="s">
        <v>167</v>
      </c>
      <c r="C19" s="171"/>
      <c r="D19" s="171"/>
      <c r="E19" s="107"/>
    </row>
    <row r="20" spans="1:5" s="181" customFormat="1" ht="12" customHeight="1" x14ac:dyDescent="0.2">
      <c r="A20" s="12" t="s">
        <v>70</v>
      </c>
      <c r="B20" s="183" t="s">
        <v>168</v>
      </c>
      <c r="C20" s="170"/>
      <c r="D20" s="170"/>
      <c r="E20" s="106"/>
    </row>
    <row r="21" spans="1:5" s="181" customFormat="1" ht="12" customHeight="1" x14ac:dyDescent="0.2">
      <c r="A21" s="12" t="s">
        <v>71</v>
      </c>
      <c r="B21" s="183" t="s">
        <v>325</v>
      </c>
      <c r="C21" s="170"/>
      <c r="D21" s="170"/>
      <c r="E21" s="106"/>
    </row>
    <row r="22" spans="1:5" s="181" customFormat="1" ht="12" customHeight="1" x14ac:dyDescent="0.2">
      <c r="A22" s="12" t="s">
        <v>72</v>
      </c>
      <c r="B22" s="183" t="s">
        <v>326</v>
      </c>
      <c r="C22" s="170"/>
      <c r="D22" s="170"/>
      <c r="E22" s="106"/>
    </row>
    <row r="23" spans="1:5" s="181" customFormat="1" ht="12" customHeight="1" x14ac:dyDescent="0.2">
      <c r="A23" s="12" t="s">
        <v>73</v>
      </c>
      <c r="B23" s="183" t="s">
        <v>169</v>
      </c>
      <c r="C23" s="170"/>
      <c r="D23" s="170"/>
      <c r="E23" s="106"/>
    </row>
    <row r="24" spans="1:5" s="181" customFormat="1" ht="12" customHeight="1" thickBot="1" x14ac:dyDescent="0.25">
      <c r="A24" s="14" t="s">
        <v>80</v>
      </c>
      <c r="B24" s="114" t="s">
        <v>170</v>
      </c>
      <c r="C24" s="172"/>
      <c r="D24" s="172"/>
      <c r="E24" s="108"/>
    </row>
    <row r="25" spans="1:5" s="181" customFormat="1" ht="12" customHeight="1" thickBot="1" x14ac:dyDescent="0.25">
      <c r="A25" s="18" t="s">
        <v>8</v>
      </c>
      <c r="B25" s="19" t="s">
        <v>171</v>
      </c>
      <c r="C25" s="169">
        <f>+C26+C27+C28+C29+C30</f>
        <v>0</v>
      </c>
      <c r="D25" s="169">
        <f>+D26+D27+D28+D29+D30</f>
        <v>0</v>
      </c>
      <c r="E25" s="105">
        <f>+E26+E27+E28+E29+E30</f>
        <v>0</v>
      </c>
    </row>
    <row r="26" spans="1:5" s="181" customFormat="1" ht="12" customHeight="1" x14ac:dyDescent="0.2">
      <c r="A26" s="13" t="s">
        <v>52</v>
      </c>
      <c r="B26" s="182" t="s">
        <v>172</v>
      </c>
      <c r="C26" s="171"/>
      <c r="D26" s="171"/>
      <c r="E26" s="107"/>
    </row>
    <row r="27" spans="1:5" s="181" customFormat="1" ht="12" customHeight="1" x14ac:dyDescent="0.2">
      <c r="A27" s="12" t="s">
        <v>53</v>
      </c>
      <c r="B27" s="183" t="s">
        <v>173</v>
      </c>
      <c r="C27" s="170"/>
      <c r="D27" s="170"/>
      <c r="E27" s="106"/>
    </row>
    <row r="28" spans="1:5" s="181" customFormat="1" ht="12" customHeight="1" x14ac:dyDescent="0.2">
      <c r="A28" s="12" t="s">
        <v>54</v>
      </c>
      <c r="B28" s="183" t="s">
        <v>327</v>
      </c>
      <c r="C28" s="170"/>
      <c r="D28" s="170"/>
      <c r="E28" s="106"/>
    </row>
    <row r="29" spans="1:5" s="181" customFormat="1" ht="12" customHeight="1" x14ac:dyDescent="0.2">
      <c r="A29" s="12" t="s">
        <v>55</v>
      </c>
      <c r="B29" s="183" t="s">
        <v>328</v>
      </c>
      <c r="C29" s="170"/>
      <c r="D29" s="170"/>
      <c r="E29" s="106"/>
    </row>
    <row r="30" spans="1:5" s="181" customFormat="1" ht="12" customHeight="1" x14ac:dyDescent="0.2">
      <c r="A30" s="12" t="s">
        <v>109</v>
      </c>
      <c r="B30" s="183" t="s">
        <v>174</v>
      </c>
      <c r="C30" s="170"/>
      <c r="D30" s="170"/>
      <c r="E30" s="106"/>
    </row>
    <row r="31" spans="1:5" s="181" customFormat="1" ht="12" customHeight="1" thickBot="1" x14ac:dyDescent="0.25">
      <c r="A31" s="14" t="s">
        <v>110</v>
      </c>
      <c r="B31" s="184" t="s">
        <v>175</v>
      </c>
      <c r="C31" s="172"/>
      <c r="D31" s="172"/>
      <c r="E31" s="108"/>
    </row>
    <row r="32" spans="1:5" s="181" customFormat="1" ht="12" customHeight="1" thickBot="1" x14ac:dyDescent="0.25">
      <c r="A32" s="18" t="s">
        <v>111</v>
      </c>
      <c r="B32" s="19" t="s">
        <v>475</v>
      </c>
      <c r="C32" s="175">
        <f>SUM(C33:C39)</f>
        <v>0</v>
      </c>
      <c r="D32" s="175">
        <f>SUM(D33:D39)</f>
        <v>0</v>
      </c>
      <c r="E32" s="211">
        <f>SUM(E33:E39)</f>
        <v>0</v>
      </c>
    </row>
    <row r="33" spans="1:5" s="181" customFormat="1" ht="12" customHeight="1" x14ac:dyDescent="0.2">
      <c r="A33" s="13" t="s">
        <v>176</v>
      </c>
      <c r="B33" s="182" t="str">
        <f>'Z_1.1.sz.mell.'!B33</f>
        <v>Építményadó</v>
      </c>
      <c r="C33" s="171"/>
      <c r="D33" s="171"/>
      <c r="E33" s="107"/>
    </row>
    <row r="34" spans="1:5" s="181" customFormat="1" ht="12" customHeight="1" x14ac:dyDescent="0.2">
      <c r="A34" s="12" t="s">
        <v>177</v>
      </c>
      <c r="B34" s="182" t="str">
        <f>'Z_1.1.sz.mell.'!B34</f>
        <v xml:space="preserve">Idegenforgalmi adó </v>
      </c>
      <c r="C34" s="170"/>
      <c r="D34" s="170"/>
      <c r="E34" s="106"/>
    </row>
    <row r="35" spans="1:5" s="181" customFormat="1" ht="12" customHeight="1" x14ac:dyDescent="0.2">
      <c r="A35" s="12" t="s">
        <v>178</v>
      </c>
      <c r="B35" s="182" t="str">
        <f>'Z_1.1.sz.mell.'!B35</f>
        <v>Iparűzési adó</v>
      </c>
      <c r="C35" s="170"/>
      <c r="D35" s="170"/>
      <c r="E35" s="106"/>
    </row>
    <row r="36" spans="1:5" s="181" customFormat="1" ht="12" customHeight="1" x14ac:dyDescent="0.2">
      <c r="A36" s="12" t="s">
        <v>179</v>
      </c>
      <c r="B36" s="182" t="str">
        <f>'Z_1.1.sz.mell.'!B36</f>
        <v>Talajterhelési díj</v>
      </c>
      <c r="C36" s="170"/>
      <c r="D36" s="170"/>
      <c r="E36" s="106"/>
    </row>
    <row r="37" spans="1:5" s="181" customFormat="1" ht="12" customHeight="1" x14ac:dyDescent="0.2">
      <c r="A37" s="12" t="s">
        <v>479</v>
      </c>
      <c r="B37" s="182" t="str">
        <f>'Z_1.1.sz.mell.'!B37</f>
        <v>Gépjárműadó</v>
      </c>
      <c r="C37" s="170"/>
      <c r="D37" s="170"/>
      <c r="E37" s="106"/>
    </row>
    <row r="38" spans="1:5" s="181" customFormat="1" ht="12" customHeight="1" x14ac:dyDescent="0.2">
      <c r="A38" s="12" t="s">
        <v>480</v>
      </c>
      <c r="B38" s="182" t="str">
        <f>'Z_1.1.sz.mell.'!B38</f>
        <v>Telekadó</v>
      </c>
      <c r="C38" s="170"/>
      <c r="D38" s="170"/>
      <c r="E38" s="106"/>
    </row>
    <row r="39" spans="1:5" s="181" customFormat="1" ht="12" customHeight="1" thickBot="1" x14ac:dyDescent="0.25">
      <c r="A39" s="14" t="s">
        <v>481</v>
      </c>
      <c r="B39" s="182" t="str">
        <f>'Z_1.1.sz.mell.'!B39</f>
        <v>Egyéb közhatalmi bevételek</v>
      </c>
      <c r="C39" s="172"/>
      <c r="D39" s="172"/>
      <c r="E39" s="108"/>
    </row>
    <row r="40" spans="1:5" s="181" customFormat="1" ht="12" customHeight="1" thickBot="1" x14ac:dyDescent="0.25">
      <c r="A40" s="18" t="s">
        <v>10</v>
      </c>
      <c r="B40" s="19" t="s">
        <v>335</v>
      </c>
      <c r="C40" s="169">
        <f>SUM(C41:C51)</f>
        <v>0</v>
      </c>
      <c r="D40" s="169">
        <f>SUM(D41:D51)</f>
        <v>0</v>
      </c>
      <c r="E40" s="105">
        <f>SUM(E41:E51)</f>
        <v>0</v>
      </c>
    </row>
    <row r="41" spans="1:5" s="181" customFormat="1" ht="12" customHeight="1" x14ac:dyDescent="0.2">
      <c r="A41" s="13" t="s">
        <v>56</v>
      </c>
      <c r="B41" s="182" t="s">
        <v>183</v>
      </c>
      <c r="C41" s="171"/>
      <c r="D41" s="171"/>
      <c r="E41" s="107"/>
    </row>
    <row r="42" spans="1:5" s="181" customFormat="1" ht="12" customHeight="1" x14ac:dyDescent="0.2">
      <c r="A42" s="12" t="s">
        <v>57</v>
      </c>
      <c r="B42" s="183" t="s">
        <v>184</v>
      </c>
      <c r="C42" s="170"/>
      <c r="D42" s="170"/>
      <c r="E42" s="106"/>
    </row>
    <row r="43" spans="1:5" s="181" customFormat="1" ht="12" customHeight="1" x14ac:dyDescent="0.2">
      <c r="A43" s="12" t="s">
        <v>58</v>
      </c>
      <c r="B43" s="183" t="s">
        <v>185</v>
      </c>
      <c r="C43" s="170"/>
      <c r="D43" s="170"/>
      <c r="E43" s="106"/>
    </row>
    <row r="44" spans="1:5" s="181" customFormat="1" ht="12" customHeight="1" x14ac:dyDescent="0.2">
      <c r="A44" s="12" t="s">
        <v>113</v>
      </c>
      <c r="B44" s="183" t="s">
        <v>186</v>
      </c>
      <c r="C44" s="170"/>
      <c r="D44" s="170"/>
      <c r="E44" s="106"/>
    </row>
    <row r="45" spans="1:5" s="181" customFormat="1" ht="12" customHeight="1" x14ac:dyDescent="0.2">
      <c r="A45" s="12" t="s">
        <v>114</v>
      </c>
      <c r="B45" s="183" t="s">
        <v>187</v>
      </c>
      <c r="C45" s="170"/>
      <c r="D45" s="170"/>
      <c r="E45" s="106"/>
    </row>
    <row r="46" spans="1:5" s="181" customFormat="1" ht="12" customHeight="1" x14ac:dyDescent="0.2">
      <c r="A46" s="12" t="s">
        <v>115</v>
      </c>
      <c r="B46" s="183" t="s">
        <v>188</v>
      </c>
      <c r="C46" s="170"/>
      <c r="D46" s="170"/>
      <c r="E46" s="106"/>
    </row>
    <row r="47" spans="1:5" s="181" customFormat="1" ht="12" customHeight="1" x14ac:dyDescent="0.2">
      <c r="A47" s="12" t="s">
        <v>116</v>
      </c>
      <c r="B47" s="183" t="s">
        <v>189</v>
      </c>
      <c r="C47" s="170"/>
      <c r="D47" s="170"/>
      <c r="E47" s="106"/>
    </row>
    <row r="48" spans="1:5" s="181" customFormat="1" ht="12" customHeight="1" x14ac:dyDescent="0.2">
      <c r="A48" s="12" t="s">
        <v>117</v>
      </c>
      <c r="B48" s="183" t="s">
        <v>482</v>
      </c>
      <c r="C48" s="170"/>
      <c r="D48" s="170"/>
      <c r="E48" s="106"/>
    </row>
    <row r="49" spans="1:5" s="181" customFormat="1" ht="12" customHeight="1" x14ac:dyDescent="0.2">
      <c r="A49" s="12" t="s">
        <v>181</v>
      </c>
      <c r="B49" s="183" t="s">
        <v>191</v>
      </c>
      <c r="C49" s="173"/>
      <c r="D49" s="173"/>
      <c r="E49" s="109"/>
    </row>
    <row r="50" spans="1:5" s="181" customFormat="1" ht="12" customHeight="1" x14ac:dyDescent="0.2">
      <c r="A50" s="14" t="s">
        <v>182</v>
      </c>
      <c r="B50" s="184" t="s">
        <v>337</v>
      </c>
      <c r="C50" s="174"/>
      <c r="D50" s="174"/>
      <c r="E50" s="110"/>
    </row>
    <row r="51" spans="1:5" s="181" customFormat="1" ht="12" customHeight="1" thickBot="1" x14ac:dyDescent="0.25">
      <c r="A51" s="14" t="s">
        <v>336</v>
      </c>
      <c r="B51" s="114" t="s">
        <v>192</v>
      </c>
      <c r="C51" s="174"/>
      <c r="D51" s="174"/>
      <c r="E51" s="110"/>
    </row>
    <row r="52" spans="1:5" s="181" customFormat="1" ht="12" customHeight="1" thickBot="1" x14ac:dyDescent="0.25">
      <c r="A52" s="18" t="s">
        <v>11</v>
      </c>
      <c r="B52" s="19" t="s">
        <v>193</v>
      </c>
      <c r="C52" s="169">
        <f>SUM(C53:C57)</f>
        <v>0</v>
      </c>
      <c r="D52" s="169">
        <f>SUM(D53:D57)</f>
        <v>0</v>
      </c>
      <c r="E52" s="105">
        <f>SUM(E53:E57)</f>
        <v>0</v>
      </c>
    </row>
    <row r="53" spans="1:5" s="181" customFormat="1" ht="12" customHeight="1" x14ac:dyDescent="0.2">
      <c r="A53" s="13" t="s">
        <v>59</v>
      </c>
      <c r="B53" s="182" t="s">
        <v>197</v>
      </c>
      <c r="C53" s="222"/>
      <c r="D53" s="222"/>
      <c r="E53" s="111"/>
    </row>
    <row r="54" spans="1:5" s="181" customFormat="1" ht="12" customHeight="1" x14ac:dyDescent="0.2">
      <c r="A54" s="12" t="s">
        <v>60</v>
      </c>
      <c r="B54" s="183" t="s">
        <v>198</v>
      </c>
      <c r="C54" s="173"/>
      <c r="D54" s="173"/>
      <c r="E54" s="109"/>
    </row>
    <row r="55" spans="1:5" s="181" customFormat="1" ht="12" customHeight="1" x14ac:dyDescent="0.2">
      <c r="A55" s="12" t="s">
        <v>194</v>
      </c>
      <c r="B55" s="183" t="s">
        <v>199</v>
      </c>
      <c r="C55" s="173"/>
      <c r="D55" s="173"/>
      <c r="E55" s="109"/>
    </row>
    <row r="56" spans="1:5" s="181" customFormat="1" ht="12" customHeight="1" x14ac:dyDescent="0.2">
      <c r="A56" s="12" t="s">
        <v>195</v>
      </c>
      <c r="B56" s="183" t="s">
        <v>200</v>
      </c>
      <c r="C56" s="173"/>
      <c r="D56" s="173"/>
      <c r="E56" s="109"/>
    </row>
    <row r="57" spans="1:5" s="181" customFormat="1" ht="12" customHeight="1" thickBot="1" x14ac:dyDescent="0.25">
      <c r="A57" s="14" t="s">
        <v>196</v>
      </c>
      <c r="B57" s="114" t="s">
        <v>201</v>
      </c>
      <c r="C57" s="174"/>
      <c r="D57" s="174"/>
      <c r="E57" s="110"/>
    </row>
    <row r="58" spans="1:5" s="181" customFormat="1" ht="12" customHeight="1" thickBot="1" x14ac:dyDescent="0.25">
      <c r="A58" s="18" t="s">
        <v>118</v>
      </c>
      <c r="B58" s="19" t="s">
        <v>202</v>
      </c>
      <c r="C58" s="169">
        <f>SUM(C59:C61)</f>
        <v>0</v>
      </c>
      <c r="D58" s="169">
        <f>SUM(D59:D61)</f>
        <v>0</v>
      </c>
      <c r="E58" s="105">
        <f>SUM(E59:E61)</f>
        <v>0</v>
      </c>
    </row>
    <row r="59" spans="1:5" s="181" customFormat="1" ht="12" customHeight="1" x14ac:dyDescent="0.2">
      <c r="A59" s="13" t="s">
        <v>61</v>
      </c>
      <c r="B59" s="182" t="s">
        <v>203</v>
      </c>
      <c r="C59" s="171"/>
      <c r="D59" s="171"/>
      <c r="E59" s="107"/>
    </row>
    <row r="60" spans="1:5" s="181" customFormat="1" ht="12" customHeight="1" x14ac:dyDescent="0.2">
      <c r="A60" s="12" t="s">
        <v>62</v>
      </c>
      <c r="B60" s="183" t="s">
        <v>329</v>
      </c>
      <c r="C60" s="170"/>
      <c r="D60" s="170"/>
      <c r="E60" s="106"/>
    </row>
    <row r="61" spans="1:5" s="181" customFormat="1" ht="12" customHeight="1" x14ac:dyDescent="0.2">
      <c r="A61" s="12" t="s">
        <v>206</v>
      </c>
      <c r="B61" s="183" t="s">
        <v>204</v>
      </c>
      <c r="C61" s="170"/>
      <c r="D61" s="170"/>
      <c r="E61" s="106"/>
    </row>
    <row r="62" spans="1:5" s="181" customFormat="1" ht="12" customHeight="1" thickBot="1" x14ac:dyDescent="0.25">
      <c r="A62" s="14" t="s">
        <v>207</v>
      </c>
      <c r="B62" s="114" t="s">
        <v>205</v>
      </c>
      <c r="C62" s="172"/>
      <c r="D62" s="172"/>
      <c r="E62" s="108"/>
    </row>
    <row r="63" spans="1:5" s="181" customFormat="1" ht="12" customHeight="1" thickBot="1" x14ac:dyDescent="0.25">
      <c r="A63" s="18" t="s">
        <v>13</v>
      </c>
      <c r="B63" s="112" t="s">
        <v>208</v>
      </c>
      <c r="C63" s="169">
        <f>SUM(C64:C66)</f>
        <v>0</v>
      </c>
      <c r="D63" s="169">
        <f>SUM(D64:D66)</f>
        <v>0</v>
      </c>
      <c r="E63" s="105">
        <f>SUM(E64:E66)</f>
        <v>0</v>
      </c>
    </row>
    <row r="64" spans="1:5" s="181" customFormat="1" ht="12" customHeight="1" x14ac:dyDescent="0.2">
      <c r="A64" s="13" t="s">
        <v>119</v>
      </c>
      <c r="B64" s="182" t="s">
        <v>210</v>
      </c>
      <c r="C64" s="173"/>
      <c r="D64" s="173"/>
      <c r="E64" s="109"/>
    </row>
    <row r="65" spans="1:5" s="181" customFormat="1" ht="12" customHeight="1" x14ac:dyDescent="0.2">
      <c r="A65" s="12" t="s">
        <v>120</v>
      </c>
      <c r="B65" s="183" t="s">
        <v>330</v>
      </c>
      <c r="C65" s="173"/>
      <c r="D65" s="173"/>
      <c r="E65" s="109"/>
    </row>
    <row r="66" spans="1:5" s="181" customFormat="1" ht="12" customHeight="1" x14ac:dyDescent="0.2">
      <c r="A66" s="12" t="s">
        <v>143</v>
      </c>
      <c r="B66" s="183" t="s">
        <v>211</v>
      </c>
      <c r="C66" s="173"/>
      <c r="D66" s="173"/>
      <c r="E66" s="109"/>
    </row>
    <row r="67" spans="1:5" s="181" customFormat="1" ht="12" customHeight="1" thickBot="1" x14ac:dyDescent="0.25">
      <c r="A67" s="14" t="s">
        <v>209</v>
      </c>
      <c r="B67" s="114" t="s">
        <v>212</v>
      </c>
      <c r="C67" s="173"/>
      <c r="D67" s="173"/>
      <c r="E67" s="109"/>
    </row>
    <row r="68" spans="1:5" s="181" customFormat="1" ht="12" customHeight="1" thickBot="1" x14ac:dyDescent="0.25">
      <c r="A68" s="236" t="s">
        <v>377</v>
      </c>
      <c r="B68" s="19" t="s">
        <v>213</v>
      </c>
      <c r="C68" s="175">
        <f>+C11+C18+C25+C32+C40+C52+C58+C63</f>
        <v>0</v>
      </c>
      <c r="D68" s="175">
        <f>+D11+D18+D25+D32+D40+D52+D58+D63</f>
        <v>0</v>
      </c>
      <c r="E68" s="211">
        <f>+E11+E18+E25+E32+E40+E52+E58+E63</f>
        <v>0</v>
      </c>
    </row>
    <row r="69" spans="1:5" s="181" customFormat="1" ht="12" customHeight="1" thickBot="1" x14ac:dyDescent="0.25">
      <c r="A69" s="223" t="s">
        <v>214</v>
      </c>
      <c r="B69" s="112" t="s">
        <v>215</v>
      </c>
      <c r="C69" s="169">
        <f>SUM(C70:C72)</f>
        <v>0</v>
      </c>
      <c r="D69" s="169">
        <f>SUM(D70:D72)</f>
        <v>0</v>
      </c>
      <c r="E69" s="105">
        <f>SUM(E70:E72)</f>
        <v>0</v>
      </c>
    </row>
    <row r="70" spans="1:5" s="181" customFormat="1" ht="12" customHeight="1" x14ac:dyDescent="0.2">
      <c r="A70" s="13" t="s">
        <v>243</v>
      </c>
      <c r="B70" s="182" t="s">
        <v>216</v>
      </c>
      <c r="C70" s="173"/>
      <c r="D70" s="173"/>
      <c r="E70" s="109"/>
    </row>
    <row r="71" spans="1:5" s="181" customFormat="1" ht="12" customHeight="1" x14ac:dyDescent="0.2">
      <c r="A71" s="12" t="s">
        <v>252</v>
      </c>
      <c r="B71" s="183" t="s">
        <v>217</v>
      </c>
      <c r="C71" s="173"/>
      <c r="D71" s="173"/>
      <c r="E71" s="109"/>
    </row>
    <row r="72" spans="1:5" s="181" customFormat="1" ht="12" customHeight="1" thickBot="1" x14ac:dyDescent="0.25">
      <c r="A72" s="14" t="s">
        <v>253</v>
      </c>
      <c r="B72" s="232" t="s">
        <v>362</v>
      </c>
      <c r="C72" s="173"/>
      <c r="D72" s="173"/>
      <c r="E72" s="109"/>
    </row>
    <row r="73" spans="1:5" s="181" customFormat="1" ht="12" customHeight="1" thickBot="1" x14ac:dyDescent="0.25">
      <c r="A73" s="223" t="s">
        <v>219</v>
      </c>
      <c r="B73" s="112" t="s">
        <v>220</v>
      </c>
      <c r="C73" s="169">
        <f>SUM(C74:C77)</f>
        <v>0</v>
      </c>
      <c r="D73" s="169">
        <f>SUM(D74:D77)</f>
        <v>0</v>
      </c>
      <c r="E73" s="105">
        <f>SUM(E74:E77)</f>
        <v>0</v>
      </c>
    </row>
    <row r="74" spans="1:5" s="181" customFormat="1" ht="12" customHeight="1" x14ac:dyDescent="0.2">
      <c r="A74" s="13" t="s">
        <v>97</v>
      </c>
      <c r="B74" s="311" t="s">
        <v>221</v>
      </c>
      <c r="C74" s="173"/>
      <c r="D74" s="173"/>
      <c r="E74" s="109"/>
    </row>
    <row r="75" spans="1:5" s="181" customFormat="1" ht="12" customHeight="1" x14ac:dyDescent="0.2">
      <c r="A75" s="12" t="s">
        <v>98</v>
      </c>
      <c r="B75" s="311" t="s">
        <v>489</v>
      </c>
      <c r="C75" s="173"/>
      <c r="D75" s="173"/>
      <c r="E75" s="109"/>
    </row>
    <row r="76" spans="1:5" s="181" customFormat="1" ht="12" customHeight="1" x14ac:dyDescent="0.2">
      <c r="A76" s="12" t="s">
        <v>244</v>
      </c>
      <c r="B76" s="311" t="s">
        <v>222</v>
      </c>
      <c r="C76" s="173"/>
      <c r="D76" s="173"/>
      <c r="E76" s="109"/>
    </row>
    <row r="77" spans="1:5" s="181" customFormat="1" ht="12" customHeight="1" thickBot="1" x14ac:dyDescent="0.25">
      <c r="A77" s="14" t="s">
        <v>245</v>
      </c>
      <c r="B77" s="312" t="s">
        <v>490</v>
      </c>
      <c r="C77" s="173"/>
      <c r="D77" s="173"/>
      <c r="E77" s="109"/>
    </row>
    <row r="78" spans="1:5" s="181" customFormat="1" ht="12" customHeight="1" thickBot="1" x14ac:dyDescent="0.25">
      <c r="A78" s="223" t="s">
        <v>223</v>
      </c>
      <c r="B78" s="112" t="s">
        <v>224</v>
      </c>
      <c r="C78" s="169">
        <f>SUM(C79:C80)</f>
        <v>0</v>
      </c>
      <c r="D78" s="169">
        <f>SUM(D79:D80)</f>
        <v>0</v>
      </c>
      <c r="E78" s="105">
        <f>SUM(E79:E80)</f>
        <v>0</v>
      </c>
    </row>
    <row r="79" spans="1:5" s="181" customFormat="1" ht="12" customHeight="1" x14ac:dyDescent="0.2">
      <c r="A79" s="13" t="s">
        <v>246</v>
      </c>
      <c r="B79" s="182" t="s">
        <v>225</v>
      </c>
      <c r="C79" s="173"/>
      <c r="D79" s="173"/>
      <c r="E79" s="109"/>
    </row>
    <row r="80" spans="1:5" s="181" customFormat="1" ht="12" customHeight="1" thickBot="1" x14ac:dyDescent="0.25">
      <c r="A80" s="14" t="s">
        <v>247</v>
      </c>
      <c r="B80" s="114" t="s">
        <v>226</v>
      </c>
      <c r="C80" s="173"/>
      <c r="D80" s="173"/>
      <c r="E80" s="109"/>
    </row>
    <row r="81" spans="1:5" s="181" customFormat="1" ht="12" customHeight="1" thickBot="1" x14ac:dyDescent="0.25">
      <c r="A81" s="223" t="s">
        <v>227</v>
      </c>
      <c r="B81" s="112" t="s">
        <v>228</v>
      </c>
      <c r="C81" s="169">
        <f>SUM(C82:C84)</f>
        <v>0</v>
      </c>
      <c r="D81" s="169">
        <f>SUM(D82:D84)</f>
        <v>0</v>
      </c>
      <c r="E81" s="105">
        <f>SUM(E82:E84)</f>
        <v>0</v>
      </c>
    </row>
    <row r="82" spans="1:5" s="181" customFormat="1" ht="12" customHeight="1" x14ac:dyDescent="0.2">
      <c r="A82" s="13" t="s">
        <v>248</v>
      </c>
      <c r="B82" s="182" t="s">
        <v>229</v>
      </c>
      <c r="C82" s="173"/>
      <c r="D82" s="173"/>
      <c r="E82" s="109"/>
    </row>
    <row r="83" spans="1:5" s="181" customFormat="1" ht="12" customHeight="1" x14ac:dyDescent="0.2">
      <c r="A83" s="12" t="s">
        <v>249</v>
      </c>
      <c r="B83" s="183" t="s">
        <v>230</v>
      </c>
      <c r="C83" s="173"/>
      <c r="D83" s="173"/>
      <c r="E83" s="109"/>
    </row>
    <row r="84" spans="1:5" s="181" customFormat="1" ht="12" customHeight="1" thickBot="1" x14ac:dyDescent="0.25">
      <c r="A84" s="14" t="s">
        <v>250</v>
      </c>
      <c r="B84" s="114" t="s">
        <v>491</v>
      </c>
      <c r="C84" s="173"/>
      <c r="D84" s="173"/>
      <c r="E84" s="109"/>
    </row>
    <row r="85" spans="1:5" s="181" customFormat="1" ht="12" customHeight="1" thickBot="1" x14ac:dyDescent="0.25">
      <c r="A85" s="223" t="s">
        <v>231</v>
      </c>
      <c r="B85" s="112" t="s">
        <v>251</v>
      </c>
      <c r="C85" s="169">
        <f>SUM(C86:C89)</f>
        <v>0</v>
      </c>
      <c r="D85" s="169">
        <f>SUM(D86:D89)</f>
        <v>0</v>
      </c>
      <c r="E85" s="105">
        <f>SUM(E86:E89)</f>
        <v>0</v>
      </c>
    </row>
    <row r="86" spans="1:5" s="181" customFormat="1" ht="12" customHeight="1" x14ac:dyDescent="0.2">
      <c r="A86" s="186" t="s">
        <v>232</v>
      </c>
      <c r="B86" s="182" t="s">
        <v>233</v>
      </c>
      <c r="C86" s="173"/>
      <c r="D86" s="173"/>
      <c r="E86" s="109"/>
    </row>
    <row r="87" spans="1:5" s="181" customFormat="1" ht="12" customHeight="1" x14ac:dyDescent="0.2">
      <c r="A87" s="187" t="s">
        <v>234</v>
      </c>
      <c r="B87" s="183" t="s">
        <v>235</v>
      </c>
      <c r="C87" s="173"/>
      <c r="D87" s="173"/>
      <c r="E87" s="109"/>
    </row>
    <row r="88" spans="1:5" s="181" customFormat="1" ht="12" customHeight="1" x14ac:dyDescent="0.2">
      <c r="A88" s="187" t="s">
        <v>236</v>
      </c>
      <c r="B88" s="183" t="s">
        <v>237</v>
      </c>
      <c r="C88" s="173"/>
      <c r="D88" s="173"/>
      <c r="E88" s="109"/>
    </row>
    <row r="89" spans="1:5" s="181" customFormat="1" ht="12" customHeight="1" thickBot="1" x14ac:dyDescent="0.25">
      <c r="A89" s="188" t="s">
        <v>238</v>
      </c>
      <c r="B89" s="114" t="s">
        <v>239</v>
      </c>
      <c r="C89" s="173"/>
      <c r="D89" s="173"/>
      <c r="E89" s="109"/>
    </row>
    <row r="90" spans="1:5" s="181" customFormat="1" ht="12" customHeight="1" thickBot="1" x14ac:dyDescent="0.25">
      <c r="A90" s="223" t="s">
        <v>240</v>
      </c>
      <c r="B90" s="112" t="s">
        <v>376</v>
      </c>
      <c r="C90" s="225"/>
      <c r="D90" s="225"/>
      <c r="E90" s="226"/>
    </row>
    <row r="91" spans="1:5" s="181" customFormat="1" ht="13.5" customHeight="1" thickBot="1" x14ac:dyDescent="0.25">
      <c r="A91" s="223" t="s">
        <v>242</v>
      </c>
      <c r="B91" s="112" t="s">
        <v>241</v>
      </c>
      <c r="C91" s="225"/>
      <c r="D91" s="225"/>
      <c r="E91" s="226"/>
    </row>
    <row r="92" spans="1:5" s="181" customFormat="1" ht="15.75" customHeight="1" thickBot="1" x14ac:dyDescent="0.25">
      <c r="A92" s="223" t="s">
        <v>254</v>
      </c>
      <c r="B92" s="189" t="s">
        <v>379</v>
      </c>
      <c r="C92" s="175">
        <f>+C69+C73+C78+C81+C85+C91+C90</f>
        <v>0</v>
      </c>
      <c r="D92" s="175">
        <f>+D69+D73+D78+D81+D85+D91+D90</f>
        <v>0</v>
      </c>
      <c r="E92" s="211">
        <f>+E69+E73+E78+E81+E85+E91+E90</f>
        <v>0</v>
      </c>
    </row>
    <row r="93" spans="1:5" s="181" customFormat="1" ht="25.5" customHeight="1" thickBot="1" x14ac:dyDescent="0.25">
      <c r="A93" s="224" t="s">
        <v>378</v>
      </c>
      <c r="B93" s="190" t="s">
        <v>380</v>
      </c>
      <c r="C93" s="175">
        <f>+C68+C92</f>
        <v>0</v>
      </c>
      <c r="D93" s="175">
        <f>+D68+D92</f>
        <v>0</v>
      </c>
      <c r="E93" s="211">
        <f>+E68+E92</f>
        <v>0</v>
      </c>
    </row>
    <row r="94" spans="1:5" s="181" customFormat="1" ht="15.2" customHeight="1" x14ac:dyDescent="0.2">
      <c r="A94" s="3"/>
      <c r="B94" s="4"/>
      <c r="C94" s="116"/>
    </row>
    <row r="95" spans="1:5" ht="16.5" customHeight="1" x14ac:dyDescent="0.25">
      <c r="A95" s="829" t="s">
        <v>34</v>
      </c>
      <c r="B95" s="829"/>
      <c r="C95" s="829"/>
      <c r="D95" s="829"/>
      <c r="E95" s="829"/>
    </row>
    <row r="96" spans="1:5" s="191" customFormat="1" ht="16.5" customHeight="1" thickBot="1" x14ac:dyDescent="0.3">
      <c r="A96" s="831" t="s">
        <v>100</v>
      </c>
      <c r="B96" s="831"/>
      <c r="C96" s="63"/>
      <c r="E96" s="63" t="str">
        <f>E7</f>
        <v xml:space="preserve"> Forintban!</v>
      </c>
    </row>
    <row r="97" spans="1:5" x14ac:dyDescent="0.25">
      <c r="A97" s="820" t="s">
        <v>51</v>
      </c>
      <c r="B97" s="822" t="s">
        <v>420</v>
      </c>
      <c r="C97" s="824" t="str">
        <f>+CONCATENATE(LEFT(Z_ÖSSZEFÜGGÉSEK!A6,4),". évi")</f>
        <v>2021. évi</v>
      </c>
      <c r="D97" s="825"/>
      <c r="E97" s="826"/>
    </row>
    <row r="98" spans="1:5" ht="24.75" thickBot="1" x14ac:dyDescent="0.3">
      <c r="A98" s="821"/>
      <c r="B98" s="823"/>
      <c r="C98" s="253" t="s">
        <v>418</v>
      </c>
      <c r="D98" s="252" t="s">
        <v>419</v>
      </c>
      <c r="E98" s="313" t="str">
        <f>CONCATENATE(E9)</f>
        <v>2021. XII. 31.
teljesítés</v>
      </c>
    </row>
    <row r="99" spans="1:5" s="180" customFormat="1" ht="12" customHeight="1" thickBot="1" x14ac:dyDescent="0.25">
      <c r="A99" s="25" t="s">
        <v>385</v>
      </c>
      <c r="B99" s="26" t="s">
        <v>386</v>
      </c>
      <c r="C99" s="26" t="s">
        <v>387</v>
      </c>
      <c r="D99" s="26" t="s">
        <v>389</v>
      </c>
      <c r="E99" s="264" t="s">
        <v>388</v>
      </c>
    </row>
    <row r="100" spans="1:5" ht="12" customHeight="1" thickBot="1" x14ac:dyDescent="0.3">
      <c r="A100" s="20" t="s">
        <v>6</v>
      </c>
      <c r="B100" s="24" t="s">
        <v>338</v>
      </c>
      <c r="C100" s="168">
        <f>C101+C102+C103+C104+C105+C118</f>
        <v>0</v>
      </c>
      <c r="D100" s="168">
        <f>D101+D102+D103+D104+D105+D118</f>
        <v>0</v>
      </c>
      <c r="E100" s="239">
        <f>E101+E102+E103+E104+E105+E118</f>
        <v>0</v>
      </c>
    </row>
    <row r="101" spans="1:5" ht="12" customHeight="1" x14ac:dyDescent="0.25">
      <c r="A101" s="15" t="s">
        <v>63</v>
      </c>
      <c r="B101" s="8" t="s">
        <v>35</v>
      </c>
      <c r="C101" s="246"/>
      <c r="D101" s="246"/>
      <c r="E101" s="240"/>
    </row>
    <row r="102" spans="1:5" ht="12" customHeight="1" x14ac:dyDescent="0.25">
      <c r="A102" s="12" t="s">
        <v>64</v>
      </c>
      <c r="B102" s="6" t="s">
        <v>121</v>
      </c>
      <c r="C102" s="170"/>
      <c r="D102" s="170"/>
      <c r="E102" s="106"/>
    </row>
    <row r="103" spans="1:5" ht="12" customHeight="1" x14ac:dyDescent="0.25">
      <c r="A103" s="12" t="s">
        <v>65</v>
      </c>
      <c r="B103" s="6" t="s">
        <v>89</v>
      </c>
      <c r="C103" s="172"/>
      <c r="D103" s="172"/>
      <c r="E103" s="108"/>
    </row>
    <row r="104" spans="1:5" ht="12" customHeight="1" x14ac:dyDescent="0.25">
      <c r="A104" s="12" t="s">
        <v>66</v>
      </c>
      <c r="B104" s="9" t="s">
        <v>122</v>
      </c>
      <c r="C104" s="172"/>
      <c r="D104" s="172"/>
      <c r="E104" s="108"/>
    </row>
    <row r="105" spans="1:5" ht="12" customHeight="1" x14ac:dyDescent="0.25">
      <c r="A105" s="12" t="s">
        <v>75</v>
      </c>
      <c r="B105" s="17" t="s">
        <v>123</v>
      </c>
      <c r="C105" s="172"/>
      <c r="D105" s="172"/>
      <c r="E105" s="108"/>
    </row>
    <row r="106" spans="1:5" ht="12" customHeight="1" x14ac:dyDescent="0.25">
      <c r="A106" s="12" t="s">
        <v>67</v>
      </c>
      <c r="B106" s="6" t="s">
        <v>343</v>
      </c>
      <c r="C106" s="172"/>
      <c r="D106" s="172"/>
      <c r="E106" s="108"/>
    </row>
    <row r="107" spans="1:5" ht="12" customHeight="1" x14ac:dyDescent="0.25">
      <c r="A107" s="12" t="s">
        <v>68</v>
      </c>
      <c r="B107" s="67" t="s">
        <v>342</v>
      </c>
      <c r="C107" s="172"/>
      <c r="D107" s="172"/>
      <c r="E107" s="108"/>
    </row>
    <row r="108" spans="1:5" ht="12" customHeight="1" x14ac:dyDescent="0.25">
      <c r="A108" s="12" t="s">
        <v>76</v>
      </c>
      <c r="B108" s="67" t="s">
        <v>341</v>
      </c>
      <c r="C108" s="172"/>
      <c r="D108" s="172"/>
      <c r="E108" s="108"/>
    </row>
    <row r="109" spans="1:5" ht="12" customHeight="1" x14ac:dyDescent="0.25">
      <c r="A109" s="12" t="s">
        <v>77</v>
      </c>
      <c r="B109" s="65" t="s">
        <v>257</v>
      </c>
      <c r="C109" s="172"/>
      <c r="D109" s="172"/>
      <c r="E109" s="108"/>
    </row>
    <row r="110" spans="1:5" ht="12" customHeight="1" x14ac:dyDescent="0.25">
      <c r="A110" s="12" t="s">
        <v>78</v>
      </c>
      <c r="B110" s="66" t="s">
        <v>258</v>
      </c>
      <c r="C110" s="172"/>
      <c r="D110" s="172"/>
      <c r="E110" s="108"/>
    </row>
    <row r="111" spans="1:5" ht="12" customHeight="1" x14ac:dyDescent="0.25">
      <c r="A111" s="12" t="s">
        <v>79</v>
      </c>
      <c r="B111" s="66" t="s">
        <v>259</v>
      </c>
      <c r="C111" s="172"/>
      <c r="D111" s="172"/>
      <c r="E111" s="108"/>
    </row>
    <row r="112" spans="1:5" ht="12" customHeight="1" x14ac:dyDescent="0.25">
      <c r="A112" s="12" t="s">
        <v>81</v>
      </c>
      <c r="B112" s="65" t="s">
        <v>260</v>
      </c>
      <c r="C112" s="172"/>
      <c r="D112" s="172"/>
      <c r="E112" s="108"/>
    </row>
    <row r="113" spans="1:5" ht="12" customHeight="1" x14ac:dyDescent="0.25">
      <c r="A113" s="12" t="s">
        <v>124</v>
      </c>
      <c r="B113" s="65" t="s">
        <v>261</v>
      </c>
      <c r="C113" s="172"/>
      <c r="D113" s="172"/>
      <c r="E113" s="108"/>
    </row>
    <row r="114" spans="1:5" ht="12" customHeight="1" x14ac:dyDescent="0.25">
      <c r="A114" s="12" t="s">
        <v>255</v>
      </c>
      <c r="B114" s="66" t="s">
        <v>262</v>
      </c>
      <c r="C114" s="172"/>
      <c r="D114" s="172"/>
      <c r="E114" s="108"/>
    </row>
    <row r="115" spans="1:5" ht="12" customHeight="1" x14ac:dyDescent="0.25">
      <c r="A115" s="11" t="s">
        <v>256</v>
      </c>
      <c r="B115" s="67" t="s">
        <v>263</v>
      </c>
      <c r="C115" s="172"/>
      <c r="D115" s="172"/>
      <c r="E115" s="108"/>
    </row>
    <row r="116" spans="1:5" ht="12" customHeight="1" x14ac:dyDescent="0.25">
      <c r="A116" s="12" t="s">
        <v>339</v>
      </c>
      <c r="B116" s="67" t="s">
        <v>264</v>
      </c>
      <c r="C116" s="172"/>
      <c r="D116" s="172"/>
      <c r="E116" s="108"/>
    </row>
    <row r="117" spans="1:5" ht="12" customHeight="1" x14ac:dyDescent="0.25">
      <c r="A117" s="14" t="s">
        <v>340</v>
      </c>
      <c r="B117" s="67" t="s">
        <v>265</v>
      </c>
      <c r="C117" s="172"/>
      <c r="D117" s="172"/>
      <c r="E117" s="108"/>
    </row>
    <row r="118" spans="1:5" ht="12" customHeight="1" x14ac:dyDescent="0.25">
      <c r="A118" s="12" t="s">
        <v>344</v>
      </c>
      <c r="B118" s="9" t="s">
        <v>36</v>
      </c>
      <c r="C118" s="170"/>
      <c r="D118" s="170"/>
      <c r="E118" s="106"/>
    </row>
    <row r="119" spans="1:5" ht="12" customHeight="1" x14ac:dyDescent="0.25">
      <c r="A119" s="12" t="s">
        <v>345</v>
      </c>
      <c r="B119" s="6" t="s">
        <v>347</v>
      </c>
      <c r="C119" s="170"/>
      <c r="D119" s="170"/>
      <c r="E119" s="106"/>
    </row>
    <row r="120" spans="1:5" ht="12" customHeight="1" thickBot="1" x14ac:dyDescent="0.3">
      <c r="A120" s="16" t="s">
        <v>346</v>
      </c>
      <c r="B120" s="235" t="s">
        <v>348</v>
      </c>
      <c r="C120" s="247"/>
      <c r="D120" s="247"/>
      <c r="E120" s="241"/>
    </row>
    <row r="121" spans="1:5" ht="12" customHeight="1" thickBot="1" x14ac:dyDescent="0.3">
      <c r="A121" s="233" t="s">
        <v>7</v>
      </c>
      <c r="B121" s="234" t="s">
        <v>266</v>
      </c>
      <c r="C121" s="248">
        <f>+C122+C124+C126</f>
        <v>0</v>
      </c>
      <c r="D121" s="169">
        <f>+D122+D124+D126</f>
        <v>0</v>
      </c>
      <c r="E121" s="242">
        <f>+E122+E124+E126</f>
        <v>0</v>
      </c>
    </row>
    <row r="122" spans="1:5" ht="12" customHeight="1" x14ac:dyDescent="0.25">
      <c r="A122" s="13" t="s">
        <v>69</v>
      </c>
      <c r="B122" s="6" t="s">
        <v>142</v>
      </c>
      <c r="C122" s="171"/>
      <c r="D122" s="257"/>
      <c r="E122" s="107"/>
    </row>
    <row r="123" spans="1:5" ht="12" customHeight="1" x14ac:dyDescent="0.25">
      <c r="A123" s="13" t="s">
        <v>70</v>
      </c>
      <c r="B123" s="10" t="s">
        <v>270</v>
      </c>
      <c r="C123" s="171"/>
      <c r="D123" s="257"/>
      <c r="E123" s="107"/>
    </row>
    <row r="124" spans="1:5" ht="12" customHeight="1" x14ac:dyDescent="0.25">
      <c r="A124" s="13" t="s">
        <v>71</v>
      </c>
      <c r="B124" s="10" t="s">
        <v>125</v>
      </c>
      <c r="C124" s="170"/>
      <c r="D124" s="258"/>
      <c r="E124" s="106"/>
    </row>
    <row r="125" spans="1:5" ht="12" customHeight="1" x14ac:dyDescent="0.25">
      <c r="A125" s="13" t="s">
        <v>72</v>
      </c>
      <c r="B125" s="10" t="s">
        <v>271</v>
      </c>
      <c r="C125" s="170"/>
      <c r="D125" s="258"/>
      <c r="E125" s="106"/>
    </row>
    <row r="126" spans="1:5" ht="12" customHeight="1" x14ac:dyDescent="0.25">
      <c r="A126" s="13" t="s">
        <v>73</v>
      </c>
      <c r="B126" s="114" t="s">
        <v>144</v>
      </c>
      <c r="C126" s="170"/>
      <c r="D126" s="258"/>
      <c r="E126" s="106"/>
    </row>
    <row r="127" spans="1:5" ht="12" customHeight="1" x14ac:dyDescent="0.25">
      <c r="A127" s="13" t="s">
        <v>80</v>
      </c>
      <c r="B127" s="113" t="s">
        <v>331</v>
      </c>
      <c r="C127" s="170"/>
      <c r="D127" s="258"/>
      <c r="E127" s="106"/>
    </row>
    <row r="128" spans="1:5" ht="12" customHeight="1" x14ac:dyDescent="0.25">
      <c r="A128" s="13" t="s">
        <v>82</v>
      </c>
      <c r="B128" s="178" t="s">
        <v>276</v>
      </c>
      <c r="C128" s="170"/>
      <c r="D128" s="258"/>
      <c r="E128" s="106"/>
    </row>
    <row r="129" spans="1:5" x14ac:dyDescent="0.25">
      <c r="A129" s="13" t="s">
        <v>126</v>
      </c>
      <c r="B129" s="66" t="s">
        <v>259</v>
      </c>
      <c r="C129" s="170"/>
      <c r="D129" s="258"/>
      <c r="E129" s="106"/>
    </row>
    <row r="130" spans="1:5" ht="12" customHeight="1" x14ac:dyDescent="0.25">
      <c r="A130" s="13" t="s">
        <v>127</v>
      </c>
      <c r="B130" s="66" t="s">
        <v>275</v>
      </c>
      <c r="C130" s="170"/>
      <c r="D130" s="258"/>
      <c r="E130" s="106"/>
    </row>
    <row r="131" spans="1:5" ht="12" customHeight="1" x14ac:dyDescent="0.25">
      <c r="A131" s="13" t="s">
        <v>128</v>
      </c>
      <c r="B131" s="66" t="s">
        <v>274</v>
      </c>
      <c r="C131" s="170"/>
      <c r="D131" s="258"/>
      <c r="E131" s="106"/>
    </row>
    <row r="132" spans="1:5" ht="12" customHeight="1" x14ac:dyDescent="0.25">
      <c r="A132" s="13" t="s">
        <v>267</v>
      </c>
      <c r="B132" s="66" t="s">
        <v>262</v>
      </c>
      <c r="C132" s="170"/>
      <c r="D132" s="258"/>
      <c r="E132" s="106"/>
    </row>
    <row r="133" spans="1:5" ht="12" customHeight="1" x14ac:dyDescent="0.25">
      <c r="A133" s="13" t="s">
        <v>268</v>
      </c>
      <c r="B133" s="66" t="s">
        <v>273</v>
      </c>
      <c r="C133" s="170"/>
      <c r="D133" s="258"/>
      <c r="E133" s="106"/>
    </row>
    <row r="134" spans="1:5" ht="16.5" thickBot="1" x14ac:dyDescent="0.3">
      <c r="A134" s="11" t="s">
        <v>269</v>
      </c>
      <c r="B134" s="66" t="s">
        <v>272</v>
      </c>
      <c r="C134" s="172"/>
      <c r="D134" s="259"/>
      <c r="E134" s="108"/>
    </row>
    <row r="135" spans="1:5" ht="12" customHeight="1" thickBot="1" x14ac:dyDescent="0.3">
      <c r="A135" s="18" t="s">
        <v>8</v>
      </c>
      <c r="B135" s="59" t="s">
        <v>349</v>
      </c>
      <c r="C135" s="169">
        <f>+C100+C121</f>
        <v>0</v>
      </c>
      <c r="D135" s="256">
        <f>+D100+D121</f>
        <v>0</v>
      </c>
      <c r="E135" s="105">
        <f>+E100+E121</f>
        <v>0</v>
      </c>
    </row>
    <row r="136" spans="1:5" ht="12" customHeight="1" thickBot="1" x14ac:dyDescent="0.3">
      <c r="A136" s="18" t="s">
        <v>9</v>
      </c>
      <c r="B136" s="59" t="s">
        <v>421</v>
      </c>
      <c r="C136" s="169">
        <f>+C137+C138+C139</f>
        <v>0</v>
      </c>
      <c r="D136" s="256">
        <f>+D137+D138+D139</f>
        <v>0</v>
      </c>
      <c r="E136" s="105">
        <f>+E137+E138+E139</f>
        <v>0</v>
      </c>
    </row>
    <row r="137" spans="1:5" ht="12" customHeight="1" x14ac:dyDescent="0.25">
      <c r="A137" s="13" t="s">
        <v>176</v>
      </c>
      <c r="B137" s="10" t="s">
        <v>357</v>
      </c>
      <c r="C137" s="170"/>
      <c r="D137" s="258"/>
      <c r="E137" s="106"/>
    </row>
    <row r="138" spans="1:5" ht="12" customHeight="1" x14ac:dyDescent="0.25">
      <c r="A138" s="13" t="s">
        <v>177</v>
      </c>
      <c r="B138" s="10" t="s">
        <v>358</v>
      </c>
      <c r="C138" s="170"/>
      <c r="D138" s="258"/>
      <c r="E138" s="106"/>
    </row>
    <row r="139" spans="1:5" ht="12" customHeight="1" thickBot="1" x14ac:dyDescent="0.3">
      <c r="A139" s="11" t="s">
        <v>178</v>
      </c>
      <c r="B139" s="10" t="s">
        <v>359</v>
      </c>
      <c r="C139" s="170"/>
      <c r="D139" s="258"/>
      <c r="E139" s="106"/>
    </row>
    <row r="140" spans="1:5" ht="12" customHeight="1" thickBot="1" x14ac:dyDescent="0.3">
      <c r="A140" s="18" t="s">
        <v>10</v>
      </c>
      <c r="B140" s="59" t="s">
        <v>351</v>
      </c>
      <c r="C140" s="169">
        <f>SUM(C141:C146)</f>
        <v>0</v>
      </c>
      <c r="D140" s="256">
        <f>SUM(D141:D146)</f>
        <v>0</v>
      </c>
      <c r="E140" s="105">
        <f>SUM(E141:E146)</f>
        <v>0</v>
      </c>
    </row>
    <row r="141" spans="1:5" ht="12" customHeight="1" x14ac:dyDescent="0.25">
      <c r="A141" s="13" t="s">
        <v>56</v>
      </c>
      <c r="B141" s="7" t="s">
        <v>360</v>
      </c>
      <c r="C141" s="170"/>
      <c r="D141" s="258"/>
      <c r="E141" s="106"/>
    </row>
    <row r="142" spans="1:5" ht="12" customHeight="1" x14ac:dyDescent="0.25">
      <c r="A142" s="13" t="s">
        <v>57</v>
      </c>
      <c r="B142" s="7" t="s">
        <v>352</v>
      </c>
      <c r="C142" s="170"/>
      <c r="D142" s="258"/>
      <c r="E142" s="106"/>
    </row>
    <row r="143" spans="1:5" ht="12" customHeight="1" x14ac:dyDescent="0.25">
      <c r="A143" s="13" t="s">
        <v>58</v>
      </c>
      <c r="B143" s="7" t="s">
        <v>353</v>
      </c>
      <c r="C143" s="170"/>
      <c r="D143" s="258"/>
      <c r="E143" s="106"/>
    </row>
    <row r="144" spans="1:5" ht="12" customHeight="1" x14ac:dyDescent="0.25">
      <c r="A144" s="13" t="s">
        <v>113</v>
      </c>
      <c r="B144" s="7" t="s">
        <v>354</v>
      </c>
      <c r="C144" s="170"/>
      <c r="D144" s="258"/>
      <c r="E144" s="106"/>
    </row>
    <row r="145" spans="1:9" ht="12" customHeight="1" x14ac:dyDescent="0.25">
      <c r="A145" s="13" t="s">
        <v>114</v>
      </c>
      <c r="B145" s="7" t="s">
        <v>355</v>
      </c>
      <c r="C145" s="170"/>
      <c r="D145" s="258"/>
      <c r="E145" s="106"/>
    </row>
    <row r="146" spans="1:9" ht="12" customHeight="1" thickBot="1" x14ac:dyDescent="0.3">
      <c r="A146" s="16" t="s">
        <v>115</v>
      </c>
      <c r="B146" s="319" t="s">
        <v>356</v>
      </c>
      <c r="C146" s="247"/>
      <c r="D146" s="296"/>
      <c r="E146" s="241"/>
    </row>
    <row r="147" spans="1:9" ht="12" customHeight="1" thickBot="1" x14ac:dyDescent="0.3">
      <c r="A147" s="18" t="s">
        <v>11</v>
      </c>
      <c r="B147" s="59" t="s">
        <v>364</v>
      </c>
      <c r="C147" s="175">
        <f>+C148+C149+C150+C151</f>
        <v>0</v>
      </c>
      <c r="D147" s="260">
        <f>+D148+D149+D150+D151</f>
        <v>0</v>
      </c>
      <c r="E147" s="211">
        <f>+E148+E149+E150+E151</f>
        <v>0</v>
      </c>
    </row>
    <row r="148" spans="1:9" ht="12" customHeight="1" x14ac:dyDescent="0.25">
      <c r="A148" s="13" t="s">
        <v>59</v>
      </c>
      <c r="B148" s="7" t="s">
        <v>277</v>
      </c>
      <c r="C148" s="170"/>
      <c r="D148" s="258"/>
      <c r="E148" s="106"/>
    </row>
    <row r="149" spans="1:9" ht="12" customHeight="1" x14ac:dyDescent="0.25">
      <c r="A149" s="13" t="s">
        <v>60</v>
      </c>
      <c r="B149" s="7" t="s">
        <v>278</v>
      </c>
      <c r="C149" s="170"/>
      <c r="D149" s="258"/>
      <c r="E149" s="106"/>
    </row>
    <row r="150" spans="1:9" ht="12" customHeight="1" x14ac:dyDescent="0.25">
      <c r="A150" s="13" t="s">
        <v>194</v>
      </c>
      <c r="B150" s="7" t="s">
        <v>365</v>
      </c>
      <c r="C150" s="170"/>
      <c r="D150" s="258"/>
      <c r="E150" s="106"/>
    </row>
    <row r="151" spans="1:9" ht="12" customHeight="1" thickBot="1" x14ac:dyDescent="0.3">
      <c r="A151" s="11" t="s">
        <v>195</v>
      </c>
      <c r="B151" s="5" t="s">
        <v>294</v>
      </c>
      <c r="C151" s="170"/>
      <c r="D151" s="258"/>
      <c r="E151" s="106"/>
    </row>
    <row r="152" spans="1:9" ht="12" customHeight="1" thickBot="1" x14ac:dyDescent="0.3">
      <c r="A152" s="18" t="s">
        <v>12</v>
      </c>
      <c r="B152" s="59" t="s">
        <v>366</v>
      </c>
      <c r="C152" s="249">
        <f>SUM(C153:C157)</f>
        <v>0</v>
      </c>
      <c r="D152" s="261">
        <f>SUM(D153:D157)</f>
        <v>0</v>
      </c>
      <c r="E152" s="243">
        <f>SUM(E153:E157)</f>
        <v>0</v>
      </c>
    </row>
    <row r="153" spans="1:9" ht="12" customHeight="1" x14ac:dyDescent="0.25">
      <c r="A153" s="13" t="s">
        <v>61</v>
      </c>
      <c r="B153" s="7" t="s">
        <v>361</v>
      </c>
      <c r="C153" s="170"/>
      <c r="D153" s="258"/>
      <c r="E153" s="106"/>
    </row>
    <row r="154" spans="1:9" ht="12" customHeight="1" x14ac:dyDescent="0.25">
      <c r="A154" s="13" t="s">
        <v>62</v>
      </c>
      <c r="B154" s="7" t="s">
        <v>368</v>
      </c>
      <c r="C154" s="170"/>
      <c r="D154" s="258"/>
      <c r="E154" s="106"/>
    </row>
    <row r="155" spans="1:9" ht="12" customHeight="1" x14ac:dyDescent="0.25">
      <c r="A155" s="13" t="s">
        <v>206</v>
      </c>
      <c r="B155" s="7" t="s">
        <v>363</v>
      </c>
      <c r="C155" s="170"/>
      <c r="D155" s="258"/>
      <c r="E155" s="106"/>
    </row>
    <row r="156" spans="1:9" ht="12" customHeight="1" x14ac:dyDescent="0.25">
      <c r="A156" s="13" t="s">
        <v>207</v>
      </c>
      <c r="B156" s="7" t="s">
        <v>369</v>
      </c>
      <c r="C156" s="170"/>
      <c r="D156" s="258"/>
      <c r="E156" s="106"/>
    </row>
    <row r="157" spans="1:9" ht="12" customHeight="1" thickBot="1" x14ac:dyDescent="0.3">
      <c r="A157" s="13" t="s">
        <v>367</v>
      </c>
      <c r="B157" s="7" t="s">
        <v>370</v>
      </c>
      <c r="C157" s="170"/>
      <c r="D157" s="258"/>
      <c r="E157" s="106"/>
    </row>
    <row r="158" spans="1:9" ht="12" customHeight="1" thickBot="1" x14ac:dyDescent="0.3">
      <c r="A158" s="18" t="s">
        <v>13</v>
      </c>
      <c r="B158" s="59" t="s">
        <v>371</v>
      </c>
      <c r="C158" s="250"/>
      <c r="D158" s="262"/>
      <c r="E158" s="244"/>
    </row>
    <row r="159" spans="1:9" ht="12" customHeight="1" thickBot="1" x14ac:dyDescent="0.3">
      <c r="A159" s="18" t="s">
        <v>14</v>
      </c>
      <c r="B159" s="59" t="s">
        <v>372</v>
      </c>
      <c r="C159" s="250"/>
      <c r="D159" s="262"/>
      <c r="E159" s="244"/>
    </row>
    <row r="160" spans="1:9" ht="15.2" customHeight="1" thickBot="1" x14ac:dyDescent="0.3">
      <c r="A160" s="18" t="s">
        <v>15</v>
      </c>
      <c r="B160" s="59" t="s">
        <v>374</v>
      </c>
      <c r="C160" s="251">
        <f>+C136+C140+C147+C152+C158+C159</f>
        <v>0</v>
      </c>
      <c r="D160" s="263">
        <f>+D136+D140+D147+D152+D158+D159</f>
        <v>0</v>
      </c>
      <c r="E160" s="245">
        <f>+E136+E140+E147+E152+E158+E159</f>
        <v>0</v>
      </c>
      <c r="F160" s="192"/>
      <c r="G160" s="193"/>
      <c r="H160" s="193"/>
      <c r="I160" s="193"/>
    </row>
    <row r="161" spans="1:5" s="181" customFormat="1" ht="12.95" customHeight="1" thickBot="1" x14ac:dyDescent="0.25">
      <c r="A161" s="115" t="s">
        <v>16</v>
      </c>
      <c r="B161" s="156" t="s">
        <v>373</v>
      </c>
      <c r="C161" s="251">
        <f>+C135+C160</f>
        <v>0</v>
      </c>
      <c r="D161" s="263">
        <f>+D135+D160</f>
        <v>0</v>
      </c>
      <c r="E161" s="245">
        <f>+E135+E160</f>
        <v>0</v>
      </c>
    </row>
    <row r="162" spans="1:5" x14ac:dyDescent="0.25">
      <c r="C162" s="629">
        <f>C93-C161</f>
        <v>0</v>
      </c>
      <c r="D162" s="629">
        <f>D93-D161</f>
        <v>0</v>
      </c>
    </row>
    <row r="163" spans="1:5" x14ac:dyDescent="0.25">
      <c r="A163" s="827" t="s">
        <v>279</v>
      </c>
      <c r="B163" s="827"/>
      <c r="C163" s="827"/>
      <c r="D163" s="827"/>
      <c r="E163" s="827"/>
    </row>
    <row r="164" spans="1:5" ht="15.2" customHeight="1" thickBot="1" x14ac:dyDescent="0.3">
      <c r="A164" s="819" t="s">
        <v>101</v>
      </c>
      <c r="B164" s="819"/>
      <c r="C164" s="117"/>
      <c r="E164" s="117" t="str">
        <f>E96</f>
        <v xml:space="preserve"> Forintban!</v>
      </c>
    </row>
    <row r="165" spans="1:5" ht="25.5" customHeight="1" thickBot="1" x14ac:dyDescent="0.3">
      <c r="A165" s="18">
        <v>1</v>
      </c>
      <c r="B165" s="23" t="s">
        <v>375</v>
      </c>
      <c r="C165" s="255">
        <f>+C68-C135</f>
        <v>0</v>
      </c>
      <c r="D165" s="169">
        <f>+D68-D135</f>
        <v>0</v>
      </c>
      <c r="E165" s="105">
        <f>+E68-E135</f>
        <v>0</v>
      </c>
    </row>
    <row r="166" spans="1:5" ht="32.450000000000003" customHeight="1" thickBot="1" x14ac:dyDescent="0.3">
      <c r="A166" s="18" t="s">
        <v>7</v>
      </c>
      <c r="B166" s="23" t="s">
        <v>381</v>
      </c>
      <c r="C166" s="169">
        <f>+C92-C160</f>
        <v>0</v>
      </c>
      <c r="D166" s="169">
        <f>+D92-D160</f>
        <v>0</v>
      </c>
      <c r="E166" s="105">
        <f>+E92-E160</f>
        <v>0</v>
      </c>
    </row>
  </sheetData>
  <sheetProtection sheet="1"/>
  <mergeCells count="16">
    <mergeCell ref="B1:E1"/>
    <mergeCell ref="A2:E2"/>
    <mergeCell ref="A3:E3"/>
    <mergeCell ref="A4:E4"/>
    <mergeCell ref="A6:E6"/>
    <mergeCell ref="A7:B7"/>
    <mergeCell ref="A163:E163"/>
    <mergeCell ref="A164:B164"/>
    <mergeCell ref="A8:A9"/>
    <mergeCell ref="B8:B9"/>
    <mergeCell ref="C8:E8"/>
    <mergeCell ref="A95:E95"/>
    <mergeCell ref="A96:B96"/>
    <mergeCell ref="A97:A98"/>
    <mergeCell ref="B97:B98"/>
    <mergeCell ref="C97:E97"/>
  </mergeCells>
  <printOptions horizontalCentered="1"/>
  <pageMargins left="0.6692913385826772" right="0.6692913385826772" top="0.86614173228346458" bottom="0.86614173228346458" header="0" footer="0"/>
  <pageSetup paperSize="9" scale="72" fitToHeight="2" orientation="portrait" r:id="rId1"/>
  <headerFooter alignWithMargins="0"/>
  <rowBreaks count="2" manualBreakCount="2">
    <brk id="68" max="4" man="1"/>
    <brk id="146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0DF1-4E38-46D0-9C21-D7830A5E2A87}">
  <sheetPr>
    <tabColor theme="5"/>
  </sheetPr>
  <dimension ref="A1:J33"/>
  <sheetViews>
    <sheetView topLeftCell="A10" zoomScale="120" zoomScaleNormal="120" zoomScaleSheetLayoutView="130" workbookViewId="0">
      <selection activeCell="E31" sqref="E31"/>
    </sheetView>
  </sheetViews>
  <sheetFormatPr defaultRowHeight="12.75" x14ac:dyDescent="0.2"/>
  <cols>
    <col min="1" max="1" width="6.83203125" style="33" customWidth="1"/>
    <col min="2" max="2" width="48" style="74" customWidth="1"/>
    <col min="3" max="5" width="15.5" style="33" customWidth="1"/>
    <col min="6" max="6" width="55.1640625" style="33" customWidth="1"/>
    <col min="7" max="9" width="15.5" style="33" customWidth="1"/>
    <col min="10" max="10" width="4.83203125" style="33" customWidth="1"/>
    <col min="11" max="16384" width="9.33203125" style="33"/>
  </cols>
  <sheetData>
    <row r="1" spans="1:10" ht="39.75" customHeight="1" x14ac:dyDescent="0.2">
      <c r="A1" s="344"/>
      <c r="B1" s="350" t="s">
        <v>105</v>
      </c>
      <c r="C1" s="351"/>
      <c r="D1" s="351"/>
      <c r="E1" s="351"/>
      <c r="F1" s="351"/>
      <c r="G1" s="351"/>
      <c r="H1" s="351"/>
      <c r="I1" s="351"/>
      <c r="J1" s="835" t="str">
        <f>CONCATENATE("2.1. melléklet ",Z_ALAPADATOK!A7," ",Z_ALAPADATOK!B7," ",Z_ALAPADATOK!C7," ",Z_ALAPADATOK!D7," ",Z_ALAPADATOK!E7," ",Z_ALAPADATOK!F7," ",Z_ALAPADATOK!G7," ",Z_ALAPADATOK!H7)</f>
        <v>2.1. melléklet a … / 2022. ( … ) önkormányzati rendelethez</v>
      </c>
    </row>
    <row r="2" spans="1:10" ht="14.25" thickBot="1" x14ac:dyDescent="0.25">
      <c r="A2" s="344"/>
      <c r="B2" s="343"/>
      <c r="C2" s="344"/>
      <c r="D2" s="344"/>
      <c r="E2" s="344"/>
      <c r="F2" s="344"/>
      <c r="G2" s="352"/>
      <c r="H2" s="352"/>
      <c r="I2" s="352" t="str">
        <f>CONCATENATE('Z_1.4.sz.mell.'!E7)</f>
        <v xml:space="preserve"> Forintban!</v>
      </c>
      <c r="J2" s="835"/>
    </row>
    <row r="3" spans="1:10" ht="18" customHeight="1" thickBot="1" x14ac:dyDescent="0.25">
      <c r="A3" s="832" t="s">
        <v>51</v>
      </c>
      <c r="B3" s="353" t="s">
        <v>39</v>
      </c>
      <c r="C3" s="354"/>
      <c r="D3" s="355"/>
      <c r="E3" s="355"/>
      <c r="F3" s="353" t="s">
        <v>40</v>
      </c>
      <c r="G3" s="356"/>
      <c r="H3" s="357"/>
      <c r="I3" s="358"/>
      <c r="J3" s="835"/>
    </row>
    <row r="4" spans="1:10" s="125" customFormat="1" ht="35.25" customHeight="1" thickBot="1" x14ac:dyDescent="0.25">
      <c r="A4" s="833"/>
      <c r="B4" s="346" t="s">
        <v>44</v>
      </c>
      <c r="C4" s="316" t="str">
        <f>+CONCATENATE('Z_1.1.sz.mell.'!C8," eredeti előirányzat")</f>
        <v>2021. évi eredeti előirányzat</v>
      </c>
      <c r="D4" s="314" t="str">
        <f>+CONCATENATE('Z_1.1.sz.mell.'!C8," módosított előirányzat")</f>
        <v>2021. évi módosított előirányzat</v>
      </c>
      <c r="E4" s="314" t="str">
        <f>CONCATENATE('Z_1.4.sz.mell.'!E9)</f>
        <v>2021. XII. 31.
teljesítés</v>
      </c>
      <c r="F4" s="346" t="s">
        <v>44</v>
      </c>
      <c r="G4" s="316" t="str">
        <f>+C4</f>
        <v>2021. évi eredeti előirányzat</v>
      </c>
      <c r="H4" s="316" t="str">
        <f>+D4</f>
        <v>2021. évi módosított előirányzat</v>
      </c>
      <c r="I4" s="315" t="str">
        <f>+E4</f>
        <v>2021. XII. 31.
teljesítés</v>
      </c>
      <c r="J4" s="835"/>
    </row>
    <row r="5" spans="1:10" s="126" customFormat="1" ht="12" customHeight="1" thickBot="1" x14ac:dyDescent="0.25">
      <c r="A5" s="359" t="s">
        <v>385</v>
      </c>
      <c r="B5" s="360" t="s">
        <v>386</v>
      </c>
      <c r="C5" s="361" t="s">
        <v>387</v>
      </c>
      <c r="D5" s="364" t="s">
        <v>389</v>
      </c>
      <c r="E5" s="364" t="s">
        <v>388</v>
      </c>
      <c r="F5" s="360" t="s">
        <v>422</v>
      </c>
      <c r="G5" s="361" t="s">
        <v>391</v>
      </c>
      <c r="H5" s="361" t="s">
        <v>392</v>
      </c>
      <c r="I5" s="365" t="s">
        <v>423</v>
      </c>
      <c r="J5" s="835"/>
    </row>
    <row r="6" spans="1:10" ht="12.95" customHeight="1" x14ac:dyDescent="0.2">
      <c r="A6" s="127" t="s">
        <v>6</v>
      </c>
      <c r="B6" s="128" t="s">
        <v>280</v>
      </c>
      <c r="C6" s="118">
        <v>168879689</v>
      </c>
      <c r="D6" s="118">
        <v>192219846</v>
      </c>
      <c r="E6" s="118">
        <v>192219846</v>
      </c>
      <c r="F6" s="128" t="s">
        <v>45</v>
      </c>
      <c r="G6" s="118">
        <v>190005619</v>
      </c>
      <c r="H6" s="118">
        <v>209070783</v>
      </c>
      <c r="I6" s="269">
        <f>'Z_1.1.sz.mell.'!E101</f>
        <v>197439245</v>
      </c>
      <c r="J6" s="835"/>
    </row>
    <row r="7" spans="1:10" ht="12.95" customHeight="1" x14ac:dyDescent="0.2">
      <c r="A7" s="129" t="s">
        <v>7</v>
      </c>
      <c r="B7" s="130" t="s">
        <v>281</v>
      </c>
      <c r="C7" s="119">
        <v>8356200</v>
      </c>
      <c r="D7" s="119">
        <v>11374380</v>
      </c>
      <c r="E7" s="119">
        <v>12365299</v>
      </c>
      <c r="F7" s="130" t="s">
        <v>121</v>
      </c>
      <c r="G7" s="119">
        <v>32318032</v>
      </c>
      <c r="H7" s="119">
        <v>34633394</v>
      </c>
      <c r="I7" s="270">
        <f>'Z_1.1.sz.mell.'!E102</f>
        <v>30009650</v>
      </c>
      <c r="J7" s="835"/>
    </row>
    <row r="8" spans="1:10" ht="12.95" customHeight="1" x14ac:dyDescent="0.2">
      <c r="A8" s="129" t="s">
        <v>8</v>
      </c>
      <c r="B8" s="130" t="s">
        <v>299</v>
      </c>
      <c r="C8" s="119"/>
      <c r="D8" s="119">
        <v>0</v>
      </c>
      <c r="E8" s="119"/>
      <c r="F8" s="130" t="s">
        <v>147</v>
      </c>
      <c r="G8" s="119">
        <v>197853933</v>
      </c>
      <c r="H8" s="119">
        <v>215705711</v>
      </c>
      <c r="I8" s="270">
        <f>'Z_1.1.sz.mell.'!E103</f>
        <v>191010825</v>
      </c>
      <c r="J8" s="835"/>
    </row>
    <row r="9" spans="1:10" ht="12.95" customHeight="1" x14ac:dyDescent="0.2">
      <c r="A9" s="129" t="s">
        <v>9</v>
      </c>
      <c r="B9" s="130" t="s">
        <v>112</v>
      </c>
      <c r="C9" s="119">
        <v>212960000</v>
      </c>
      <c r="D9" s="119">
        <v>213060000</v>
      </c>
      <c r="E9" s="119">
        <v>223901819</v>
      </c>
      <c r="F9" s="130" t="s">
        <v>122</v>
      </c>
      <c r="G9" s="119">
        <v>12550000</v>
      </c>
      <c r="H9" s="119">
        <v>12550000</v>
      </c>
      <c r="I9" s="270">
        <f>'Z_1.1.sz.mell.'!E104</f>
        <v>10715288</v>
      </c>
      <c r="J9" s="835"/>
    </row>
    <row r="10" spans="1:10" ht="12.95" customHeight="1" x14ac:dyDescent="0.2">
      <c r="A10" s="129" t="s">
        <v>10</v>
      </c>
      <c r="B10" s="131" t="s">
        <v>324</v>
      </c>
      <c r="C10" s="119">
        <v>56427933</v>
      </c>
      <c r="D10" s="119">
        <v>93760420</v>
      </c>
      <c r="E10" s="119">
        <v>84402367</v>
      </c>
      <c r="F10" s="130" t="s">
        <v>123</v>
      </c>
      <c r="G10" s="119">
        <v>84311058</v>
      </c>
      <c r="H10" s="119">
        <v>91431807</v>
      </c>
      <c r="I10" s="270">
        <f>'Z_1.1.sz.mell.'!E105</f>
        <v>87425170</v>
      </c>
      <c r="J10" s="835"/>
    </row>
    <row r="11" spans="1:10" ht="12.95" customHeight="1" x14ac:dyDescent="0.2">
      <c r="A11" s="129" t="s">
        <v>11</v>
      </c>
      <c r="B11" s="130" t="s">
        <v>282</v>
      </c>
      <c r="C11" s="120"/>
      <c r="D11" s="120"/>
      <c r="E11" s="120">
        <v>370000</v>
      </c>
      <c r="F11" s="130" t="s">
        <v>36</v>
      </c>
      <c r="G11" s="119">
        <v>10000000</v>
      </c>
      <c r="H11" s="119">
        <v>7222963</v>
      </c>
      <c r="I11" s="270"/>
      <c r="J11" s="835"/>
    </row>
    <row r="12" spans="1:10" ht="12.95" customHeight="1" x14ac:dyDescent="0.2">
      <c r="A12" s="129" t="s">
        <v>12</v>
      </c>
      <c r="B12" s="130" t="s">
        <v>382</v>
      </c>
      <c r="C12" s="119"/>
      <c r="D12" s="119"/>
      <c r="E12" s="119"/>
      <c r="F12" s="30"/>
      <c r="G12" s="119"/>
      <c r="H12" s="119"/>
      <c r="I12" s="270"/>
      <c r="J12" s="835"/>
    </row>
    <row r="13" spans="1:10" ht="12.95" customHeight="1" x14ac:dyDescent="0.2">
      <c r="A13" s="129" t="s">
        <v>13</v>
      </c>
      <c r="B13" s="30"/>
      <c r="C13" s="119"/>
      <c r="D13" s="119"/>
      <c r="E13" s="119"/>
      <c r="F13" s="30"/>
      <c r="G13" s="119"/>
      <c r="H13" s="119"/>
      <c r="I13" s="270"/>
      <c r="J13" s="835"/>
    </row>
    <row r="14" spans="1:10" ht="12.95" customHeight="1" x14ac:dyDescent="0.2">
      <c r="A14" s="129" t="s">
        <v>14</v>
      </c>
      <c r="B14" s="194"/>
      <c r="C14" s="120"/>
      <c r="D14" s="120"/>
      <c r="E14" s="120"/>
      <c r="F14" s="30"/>
      <c r="G14" s="119"/>
      <c r="H14" s="119"/>
      <c r="I14" s="270"/>
      <c r="J14" s="835"/>
    </row>
    <row r="15" spans="1:10" ht="12.95" customHeight="1" x14ac:dyDescent="0.2">
      <c r="A15" s="129" t="s">
        <v>15</v>
      </c>
      <c r="B15" s="30"/>
      <c r="C15" s="119"/>
      <c r="D15" s="119"/>
      <c r="E15" s="119"/>
      <c r="F15" s="30"/>
      <c r="G15" s="119"/>
      <c r="H15" s="119"/>
      <c r="I15" s="270"/>
      <c r="J15" s="835"/>
    </row>
    <row r="16" spans="1:10" ht="12.95" customHeight="1" x14ac:dyDescent="0.2">
      <c r="A16" s="129" t="s">
        <v>16</v>
      </c>
      <c r="B16" s="30"/>
      <c r="C16" s="119"/>
      <c r="D16" s="119"/>
      <c r="E16" s="119"/>
      <c r="F16" s="30"/>
      <c r="G16" s="119"/>
      <c r="H16" s="119"/>
      <c r="I16" s="270"/>
      <c r="J16" s="835"/>
    </row>
    <row r="17" spans="1:10" ht="12.95" customHeight="1" thickBot="1" x14ac:dyDescent="0.25">
      <c r="A17" s="129" t="s">
        <v>17</v>
      </c>
      <c r="B17" s="35"/>
      <c r="C17" s="121"/>
      <c r="D17" s="121"/>
      <c r="E17" s="121"/>
      <c r="F17" s="30"/>
      <c r="G17" s="121"/>
      <c r="H17" s="121"/>
      <c r="I17" s="271"/>
      <c r="J17" s="835"/>
    </row>
    <row r="18" spans="1:10" ht="21.75" thickBot="1" x14ac:dyDescent="0.25">
      <c r="A18" s="132" t="s">
        <v>18</v>
      </c>
      <c r="B18" s="60" t="s">
        <v>383</v>
      </c>
      <c r="C18" s="122">
        <f>C6+C7+C9+C10+C11+C13+C14+C15+C16+C17</f>
        <v>446623822</v>
      </c>
      <c r="D18" s="122">
        <f>D6+D7+D9+D10+D11+D13+D14+D15+D16+D17</f>
        <v>510414646</v>
      </c>
      <c r="E18" s="122">
        <f>E6+E7+E9+E10+E11+E13+E14+E15+E16+E17</f>
        <v>513259331</v>
      </c>
      <c r="F18" s="60" t="s">
        <v>285</v>
      </c>
      <c r="G18" s="122">
        <f>SUM(G6:G17)</f>
        <v>527038642</v>
      </c>
      <c r="H18" s="122">
        <f>SUM(H6:H17)</f>
        <v>570614658</v>
      </c>
      <c r="I18" s="150">
        <f>SUM(I6:I17)</f>
        <v>516600178</v>
      </c>
      <c r="J18" s="835"/>
    </row>
    <row r="19" spans="1:10" ht="12.95" customHeight="1" x14ac:dyDescent="0.2">
      <c r="A19" s="133" t="s">
        <v>19</v>
      </c>
      <c r="B19" s="134" t="s">
        <v>848</v>
      </c>
      <c r="C19" s="237">
        <f>+C20+C21+C22+C23</f>
        <v>87170009</v>
      </c>
      <c r="D19" s="237">
        <f>+D20+D21+D22+D23</f>
        <v>66955201</v>
      </c>
      <c r="E19" s="237">
        <f>+E20+E21+E22+E23</f>
        <v>66955201</v>
      </c>
      <c r="F19" s="135" t="s">
        <v>129</v>
      </c>
      <c r="G19" s="123"/>
      <c r="H19" s="123"/>
      <c r="I19" s="272"/>
      <c r="J19" s="835"/>
    </row>
    <row r="20" spans="1:10" ht="12.95" customHeight="1" x14ac:dyDescent="0.2">
      <c r="A20" s="136" t="s">
        <v>20</v>
      </c>
      <c r="B20" s="135" t="s">
        <v>140</v>
      </c>
      <c r="C20" s="49">
        <v>67170009</v>
      </c>
      <c r="D20" s="49">
        <v>66955201</v>
      </c>
      <c r="E20" s="49">
        <v>61955201</v>
      </c>
      <c r="F20" s="135" t="s">
        <v>284</v>
      </c>
      <c r="G20" s="49"/>
      <c r="H20" s="49"/>
      <c r="I20" s="273"/>
      <c r="J20" s="835"/>
    </row>
    <row r="21" spans="1:10" ht="12.95" customHeight="1" x14ac:dyDescent="0.2">
      <c r="A21" s="136" t="s">
        <v>21</v>
      </c>
      <c r="B21" s="135" t="s">
        <v>141</v>
      </c>
      <c r="C21" s="49"/>
      <c r="D21" s="49"/>
      <c r="E21" s="49"/>
      <c r="F21" s="135" t="s">
        <v>103</v>
      </c>
      <c r="G21" s="49"/>
      <c r="H21" s="49"/>
      <c r="I21" s="273"/>
      <c r="J21" s="835"/>
    </row>
    <row r="22" spans="1:10" ht="12.95" customHeight="1" x14ac:dyDescent="0.2">
      <c r="A22" s="136" t="s">
        <v>22</v>
      </c>
      <c r="B22" s="135" t="s">
        <v>145</v>
      </c>
      <c r="C22" s="49"/>
      <c r="D22" s="49"/>
      <c r="E22" s="49"/>
      <c r="F22" s="135" t="s">
        <v>104</v>
      </c>
      <c r="G22" s="49"/>
      <c r="H22" s="49"/>
      <c r="I22" s="273"/>
      <c r="J22" s="835"/>
    </row>
    <row r="23" spans="1:10" ht="12.95" customHeight="1" x14ac:dyDescent="0.2">
      <c r="A23" s="136" t="s">
        <v>23</v>
      </c>
      <c r="B23" s="135" t="s">
        <v>146</v>
      </c>
      <c r="C23" s="49">
        <v>20000000</v>
      </c>
      <c r="D23" s="49">
        <v>0</v>
      </c>
      <c r="E23" s="49">
        <v>5000000</v>
      </c>
      <c r="F23" s="134" t="s">
        <v>148</v>
      </c>
      <c r="G23" s="49"/>
      <c r="H23" s="49"/>
      <c r="I23" s="273"/>
      <c r="J23" s="835"/>
    </row>
    <row r="24" spans="1:10" ht="12.95" customHeight="1" x14ac:dyDescent="0.2">
      <c r="A24" s="129" t="s">
        <v>24</v>
      </c>
      <c r="B24" s="135" t="s">
        <v>283</v>
      </c>
      <c r="C24" s="49"/>
      <c r="D24" s="49"/>
      <c r="E24" s="49"/>
      <c r="F24" s="135" t="s">
        <v>130</v>
      </c>
      <c r="G24" s="49"/>
      <c r="H24" s="49"/>
      <c r="I24" s="273"/>
      <c r="J24" s="835"/>
    </row>
    <row r="25" spans="1:10" ht="12.95" customHeight="1" x14ac:dyDescent="0.2">
      <c r="A25" s="129" t="s">
        <v>25</v>
      </c>
      <c r="B25" s="135" t="s">
        <v>847</v>
      </c>
      <c r="C25" s="137">
        <f>C26+C27</f>
        <v>0</v>
      </c>
      <c r="D25" s="137">
        <f>D26+D27</f>
        <v>0</v>
      </c>
      <c r="E25" s="137">
        <f>E26+E27</f>
        <v>0</v>
      </c>
      <c r="F25" s="128" t="s">
        <v>365</v>
      </c>
      <c r="G25" s="49"/>
      <c r="H25" s="49"/>
      <c r="I25" s="273"/>
      <c r="J25" s="835"/>
    </row>
    <row r="26" spans="1:10" ht="12.95" customHeight="1" x14ac:dyDescent="0.2">
      <c r="A26" s="165" t="s">
        <v>26</v>
      </c>
      <c r="B26" s="134" t="s">
        <v>156</v>
      </c>
      <c r="C26" s="123"/>
      <c r="D26" s="123"/>
      <c r="E26" s="123"/>
      <c r="F26" s="130" t="s">
        <v>371</v>
      </c>
      <c r="G26" s="123"/>
      <c r="H26" s="123"/>
      <c r="I26" s="272"/>
      <c r="J26" s="835"/>
    </row>
    <row r="27" spans="1:10" ht="12.95" customHeight="1" x14ac:dyDescent="0.2">
      <c r="A27" s="129" t="s">
        <v>27</v>
      </c>
      <c r="B27" s="135" t="s">
        <v>376</v>
      </c>
      <c r="C27" s="49"/>
      <c r="D27" s="49"/>
      <c r="E27" s="49"/>
      <c r="F27" s="130" t="s">
        <v>372</v>
      </c>
      <c r="G27" s="49"/>
      <c r="H27" s="49"/>
      <c r="I27" s="273"/>
      <c r="J27" s="835"/>
    </row>
    <row r="28" spans="1:10" ht="12.95" customHeight="1" thickBot="1" x14ac:dyDescent="0.25">
      <c r="A28" s="165" t="s">
        <v>28</v>
      </c>
      <c r="B28" s="134" t="s">
        <v>898</v>
      </c>
      <c r="C28" s="123"/>
      <c r="D28" s="123">
        <v>554674</v>
      </c>
      <c r="E28" s="123">
        <v>7640915</v>
      </c>
      <c r="F28" s="196" t="s">
        <v>278</v>
      </c>
      <c r="G28" s="123">
        <v>6755189</v>
      </c>
      <c r="H28" s="123">
        <v>7309863</v>
      </c>
      <c r="I28" s="272">
        <v>7309863</v>
      </c>
      <c r="J28" s="835"/>
    </row>
    <row r="29" spans="1:10" ht="24" customHeight="1" thickBot="1" x14ac:dyDescent="0.25">
      <c r="A29" s="132" t="s">
        <v>29</v>
      </c>
      <c r="B29" s="60" t="s">
        <v>850</v>
      </c>
      <c r="C29" s="267">
        <f>+C19+C25+C28</f>
        <v>87170009</v>
      </c>
      <c r="D29" s="267">
        <f>+D19+D25+D28</f>
        <v>67509875</v>
      </c>
      <c r="E29" s="267">
        <f>+E19+E25+E28</f>
        <v>74596116</v>
      </c>
      <c r="F29" s="60" t="s">
        <v>849</v>
      </c>
      <c r="G29" s="122">
        <f>SUM(G19:G28)</f>
        <v>6755189</v>
      </c>
      <c r="H29" s="122">
        <f>SUM(H19:H28)</f>
        <v>7309863</v>
      </c>
      <c r="I29" s="150">
        <f>SUM(I19:I28)</f>
        <v>7309863</v>
      </c>
      <c r="J29" s="835"/>
    </row>
    <row r="30" spans="1:10" ht="13.5" thickBot="1" x14ac:dyDescent="0.25">
      <c r="A30" s="132" t="s">
        <v>30</v>
      </c>
      <c r="B30" s="138" t="s">
        <v>384</v>
      </c>
      <c r="C30" s="309">
        <f>+C18+C29</f>
        <v>533793831</v>
      </c>
      <c r="D30" s="309">
        <f>+D18+D29</f>
        <v>577924521</v>
      </c>
      <c r="E30" s="310">
        <f>+E18+E29</f>
        <v>587855447</v>
      </c>
      <c r="F30" s="138"/>
      <c r="G30" s="309">
        <f>+G18+G29</f>
        <v>533793831</v>
      </c>
      <c r="H30" s="309">
        <f>+H18+H29</f>
        <v>577924521</v>
      </c>
      <c r="I30" s="310">
        <f>+I18+I29</f>
        <v>523910041</v>
      </c>
      <c r="J30" s="835"/>
    </row>
    <row r="31" spans="1:10" ht="13.5" thickBot="1" x14ac:dyDescent="0.25">
      <c r="A31" s="132" t="s">
        <v>31</v>
      </c>
      <c r="B31" s="138" t="s">
        <v>107</v>
      </c>
      <c r="C31" s="309">
        <f>IF(C18-G18&lt;0,G18-C18,"-")</f>
        <v>80414820</v>
      </c>
      <c r="D31" s="309">
        <f>IF(D18-H18&lt;0,H18-D18,"-")</f>
        <v>60200012</v>
      </c>
      <c r="E31" s="310">
        <f>IF(E18-I18&lt;0,I18-E18,"-")</f>
        <v>3340847</v>
      </c>
      <c r="F31" s="138" t="s">
        <v>108</v>
      </c>
      <c r="G31" s="309" t="str">
        <f>IF(C18-G18&gt;0,C18-G18,"-")</f>
        <v>-</v>
      </c>
      <c r="H31" s="309" t="str">
        <f>IF(D18-H18&gt;0,D18-H18,"-")</f>
        <v>-</v>
      </c>
      <c r="I31" s="310" t="str">
        <f>IF(E18-I18&gt;0,E18-I18,"-")</f>
        <v>-</v>
      </c>
      <c r="J31" s="835"/>
    </row>
    <row r="32" spans="1:10" ht="13.5" thickBot="1" x14ac:dyDescent="0.25">
      <c r="A32" s="132" t="s">
        <v>32</v>
      </c>
      <c r="B32" s="138" t="s">
        <v>487</v>
      </c>
      <c r="C32" s="309" t="str">
        <f>IF(C30-G30&lt;0,G30-C30,"-")</f>
        <v>-</v>
      </c>
      <c r="D32" s="309" t="str">
        <f>IF(D30-H30&lt;0,H30-D30,"-")</f>
        <v>-</v>
      </c>
      <c r="E32" s="309" t="str">
        <f>IF(E30-I30&lt;0,I30-E30,"-")</f>
        <v>-</v>
      </c>
      <c r="F32" s="138" t="s">
        <v>488</v>
      </c>
      <c r="G32" s="309" t="str">
        <f>IF(C30-G30&gt;0,C30-G30,"-")</f>
        <v>-</v>
      </c>
      <c r="H32" s="309" t="str">
        <f>IF(D30-H30&gt;0,D30-H30,"-")</f>
        <v>-</v>
      </c>
      <c r="I32" s="309">
        <f>IF(E30-I30&gt;0,E30-I30,"-")</f>
        <v>63945406</v>
      </c>
      <c r="J32" s="835"/>
    </row>
    <row r="33" spans="2:10" ht="18.75" x14ac:dyDescent="0.2">
      <c r="B33" s="834"/>
      <c r="C33" s="834"/>
      <c r="D33" s="834"/>
      <c r="E33" s="834"/>
      <c r="F33" s="834"/>
      <c r="J33" s="835"/>
    </row>
  </sheetData>
  <mergeCells count="3">
    <mergeCell ref="A3:A4"/>
    <mergeCell ref="B33:F33"/>
    <mergeCell ref="J1:J33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3F0D9-8C16-4545-AEE3-3F15AF70C116}">
  <sheetPr>
    <tabColor theme="5"/>
  </sheetPr>
  <dimension ref="A1:J33"/>
  <sheetViews>
    <sheetView topLeftCell="A7" zoomScale="120" zoomScaleNormal="120" zoomScaleSheetLayoutView="115" workbookViewId="0">
      <selection activeCell="I33" sqref="I33"/>
    </sheetView>
  </sheetViews>
  <sheetFormatPr defaultRowHeight="12.75" x14ac:dyDescent="0.2"/>
  <cols>
    <col min="1" max="1" width="6.83203125" style="33" customWidth="1"/>
    <col min="2" max="2" width="49.83203125" style="74" customWidth="1"/>
    <col min="3" max="5" width="15.5" style="33" customWidth="1"/>
    <col min="6" max="6" width="49.83203125" style="33" customWidth="1"/>
    <col min="7" max="9" width="15.5" style="33" customWidth="1"/>
    <col min="10" max="10" width="4.83203125" style="33" customWidth="1"/>
    <col min="11" max="16384" width="9.33203125" style="33"/>
  </cols>
  <sheetData>
    <row r="1" spans="1:10" ht="31.5" x14ac:dyDescent="0.2">
      <c r="A1" s="344"/>
      <c r="B1" s="350" t="s">
        <v>106</v>
      </c>
      <c r="C1" s="351"/>
      <c r="D1" s="351"/>
      <c r="E1" s="351"/>
      <c r="F1" s="351"/>
      <c r="G1" s="351"/>
      <c r="H1" s="351"/>
      <c r="I1" s="351"/>
      <c r="J1" s="835" t="str">
        <f>CONCATENATE("2.2. melléklet ",Z_ALAPADATOK!A7," ",Z_ALAPADATOK!B7," ",Z_ALAPADATOK!C7," ",Z_ALAPADATOK!D7," ",Z_ALAPADATOK!E7," ",Z_ALAPADATOK!F7," ",Z_ALAPADATOK!G7," ",Z_ALAPADATOK!H7)</f>
        <v>2.2. melléklet a … / 2022. ( … ) önkormányzati rendelethez</v>
      </c>
    </row>
    <row r="2" spans="1:10" ht="14.25" thickBot="1" x14ac:dyDescent="0.25">
      <c r="A2" s="344"/>
      <c r="B2" s="343"/>
      <c r="C2" s="344"/>
      <c r="D2" s="344"/>
      <c r="E2" s="344"/>
      <c r="F2" s="344"/>
      <c r="G2" s="352"/>
      <c r="H2" s="352"/>
      <c r="I2" s="352" t="str">
        <f>'Z_2.1.sz.mell'!I2</f>
        <v xml:space="preserve"> Forintban!</v>
      </c>
      <c r="J2" s="835"/>
    </row>
    <row r="3" spans="1:10" ht="13.5" customHeight="1" thickBot="1" x14ac:dyDescent="0.25">
      <c r="A3" s="832" t="s">
        <v>51</v>
      </c>
      <c r="B3" s="353" t="s">
        <v>39</v>
      </c>
      <c r="C3" s="354"/>
      <c r="D3" s="355"/>
      <c r="E3" s="355"/>
      <c r="F3" s="353" t="s">
        <v>40</v>
      </c>
      <c r="G3" s="356"/>
      <c r="H3" s="357"/>
      <c r="I3" s="358"/>
      <c r="J3" s="835"/>
    </row>
    <row r="4" spans="1:10" s="125" customFormat="1" ht="36.75" thickBot="1" x14ac:dyDescent="0.25">
      <c r="A4" s="833"/>
      <c r="B4" s="346" t="s">
        <v>44</v>
      </c>
      <c r="C4" s="316" t="str">
        <f>+CONCATENATE('Z_1.1.sz.mell.'!C8," eredeti előirányzat")</f>
        <v>2021. évi eredeti előirányzat</v>
      </c>
      <c r="D4" s="314" t="str">
        <f>+CONCATENATE('Z_1.1.sz.mell.'!C8," módosított előirányzat")</f>
        <v>2021. évi módosított előirányzat</v>
      </c>
      <c r="E4" s="314" t="str">
        <f>CONCATENATE('Z_2.1.sz.mell'!E4)</f>
        <v>2021. XII. 31.
teljesítés</v>
      </c>
      <c r="F4" s="346" t="s">
        <v>44</v>
      </c>
      <c r="G4" s="316" t="str">
        <f>+C4</f>
        <v>2021. évi eredeti előirányzat</v>
      </c>
      <c r="H4" s="316" t="str">
        <f>+D4</f>
        <v>2021. évi módosított előirányzat</v>
      </c>
      <c r="I4" s="315" t="str">
        <f>+E4</f>
        <v>2021. XII. 31.
teljesítés</v>
      </c>
      <c r="J4" s="835"/>
    </row>
    <row r="5" spans="1:10" s="125" customFormat="1" ht="13.5" thickBot="1" x14ac:dyDescent="0.25">
      <c r="A5" s="359" t="s">
        <v>385</v>
      </c>
      <c r="B5" s="360" t="s">
        <v>386</v>
      </c>
      <c r="C5" s="361" t="s">
        <v>387</v>
      </c>
      <c r="D5" s="361" t="s">
        <v>389</v>
      </c>
      <c r="E5" s="361" t="s">
        <v>388</v>
      </c>
      <c r="F5" s="360" t="s">
        <v>390</v>
      </c>
      <c r="G5" s="361" t="s">
        <v>391</v>
      </c>
      <c r="H5" s="362" t="s">
        <v>392</v>
      </c>
      <c r="I5" s="363" t="s">
        <v>423</v>
      </c>
      <c r="J5" s="835"/>
    </row>
    <row r="6" spans="1:10" ht="12.95" customHeight="1" x14ac:dyDescent="0.2">
      <c r="A6" s="127" t="s">
        <v>6</v>
      </c>
      <c r="B6" s="128" t="s">
        <v>286</v>
      </c>
      <c r="C6" s="118">
        <v>30000000</v>
      </c>
      <c r="D6" s="118">
        <v>119719194</v>
      </c>
      <c r="E6" s="118">
        <v>89719194</v>
      </c>
      <c r="F6" s="128" t="s">
        <v>142</v>
      </c>
      <c r="G6" s="119">
        <v>33380818</v>
      </c>
      <c r="H6" s="278">
        <f>'Z_1.1.sz.mell.'!D122</f>
        <v>25784466</v>
      </c>
      <c r="I6" s="148">
        <f>'Z_1.1.sz.mell.'!E122</f>
        <v>23574143</v>
      </c>
      <c r="J6" s="835"/>
    </row>
    <row r="7" spans="1:10" x14ac:dyDescent="0.2">
      <c r="A7" s="129" t="s">
        <v>7</v>
      </c>
      <c r="B7" s="130" t="s">
        <v>287</v>
      </c>
      <c r="C7" s="119">
        <v>30000000</v>
      </c>
      <c r="D7" s="119">
        <v>30000000</v>
      </c>
      <c r="E7" s="119">
        <v>89719194</v>
      </c>
      <c r="F7" s="130" t="s">
        <v>292</v>
      </c>
      <c r="G7" s="119"/>
      <c r="H7" s="119">
        <f>'Z_1.1.sz.mell.'!D123</f>
        <v>8509200</v>
      </c>
      <c r="I7" s="270">
        <f>'Z_1.1.sz.mell.'!E123</f>
        <v>8509200</v>
      </c>
      <c r="J7" s="835"/>
    </row>
    <row r="8" spans="1:10" ht="12.95" customHeight="1" x14ac:dyDescent="0.2">
      <c r="A8" s="129" t="s">
        <v>8</v>
      </c>
      <c r="B8" s="130" t="s">
        <v>1</v>
      </c>
      <c r="C8" s="119">
        <v>1267716</v>
      </c>
      <c r="D8" s="119">
        <v>26385826</v>
      </c>
      <c r="E8" s="119">
        <v>11385826</v>
      </c>
      <c r="F8" s="130" t="s">
        <v>125</v>
      </c>
      <c r="G8" s="119">
        <v>95110097</v>
      </c>
      <c r="H8" s="119">
        <f>'Z_1.1.sz.mell.'!D124</f>
        <v>216026421</v>
      </c>
      <c r="I8" s="270">
        <f>'Z_1.1.sz.mell.'!E124</f>
        <v>126065711</v>
      </c>
      <c r="J8" s="835"/>
    </row>
    <row r="9" spans="1:10" ht="12.95" customHeight="1" x14ac:dyDescent="0.2">
      <c r="A9" s="129" t="s">
        <v>9</v>
      </c>
      <c r="B9" s="130" t="s">
        <v>288</v>
      </c>
      <c r="C9" s="119">
        <v>1649641</v>
      </c>
      <c r="D9" s="119">
        <v>1923842</v>
      </c>
      <c r="E9" s="119">
        <v>2042980</v>
      </c>
      <c r="F9" s="130" t="s">
        <v>293</v>
      </c>
      <c r="G9" s="119">
        <f>'Z_1.1.sz.mell.'!C125</f>
        <v>87833480</v>
      </c>
      <c r="H9" s="119">
        <f>'Z_1.1.sz.mell.'!D125</f>
        <v>184833480</v>
      </c>
      <c r="I9" s="270">
        <f>'Z_1.1.sz.mell.'!E125</f>
        <v>121637168</v>
      </c>
      <c r="J9" s="835"/>
    </row>
    <row r="10" spans="1:10" ht="12.75" customHeight="1" x14ac:dyDescent="0.2">
      <c r="A10" s="129" t="s">
        <v>10</v>
      </c>
      <c r="B10" s="130" t="s">
        <v>289</v>
      </c>
      <c r="C10" s="119"/>
      <c r="D10" s="119"/>
      <c r="E10" s="119"/>
      <c r="F10" s="130" t="s">
        <v>144</v>
      </c>
      <c r="G10" s="119"/>
      <c r="H10" s="119">
        <v>4343418</v>
      </c>
      <c r="I10" s="270">
        <v>4343418</v>
      </c>
      <c r="J10" s="835"/>
    </row>
    <row r="11" spans="1:10" ht="12.95" customHeight="1" x14ac:dyDescent="0.2">
      <c r="A11" s="129" t="s">
        <v>11</v>
      </c>
      <c r="B11" s="130" t="s">
        <v>290</v>
      </c>
      <c r="C11" s="120"/>
      <c r="D11" s="120"/>
      <c r="E11" s="120"/>
      <c r="F11" s="197"/>
      <c r="G11" s="119"/>
      <c r="H11" s="119"/>
      <c r="I11" s="270"/>
      <c r="J11" s="835"/>
    </row>
    <row r="12" spans="1:10" ht="12.95" customHeight="1" x14ac:dyDescent="0.2">
      <c r="A12" s="129" t="s">
        <v>12</v>
      </c>
      <c r="B12" s="30"/>
      <c r="C12" s="119"/>
      <c r="D12" s="119"/>
      <c r="E12" s="119"/>
      <c r="F12" s="197"/>
      <c r="G12" s="119"/>
      <c r="H12" s="119"/>
      <c r="I12" s="270"/>
      <c r="J12" s="835"/>
    </row>
    <row r="13" spans="1:10" ht="12.95" customHeight="1" x14ac:dyDescent="0.2">
      <c r="A13" s="129" t="s">
        <v>13</v>
      </c>
      <c r="B13" s="30"/>
      <c r="C13" s="119"/>
      <c r="D13" s="119"/>
      <c r="E13" s="119"/>
      <c r="F13" s="198"/>
      <c r="G13" s="119"/>
      <c r="H13" s="119"/>
      <c r="I13" s="270"/>
      <c r="J13" s="835"/>
    </row>
    <row r="14" spans="1:10" ht="12.95" customHeight="1" x14ac:dyDescent="0.2">
      <c r="A14" s="129" t="s">
        <v>14</v>
      </c>
      <c r="B14" s="195"/>
      <c r="C14" s="120"/>
      <c r="D14" s="120"/>
      <c r="E14" s="120"/>
      <c r="F14" s="197"/>
      <c r="G14" s="119"/>
      <c r="H14" s="119"/>
      <c r="I14" s="270"/>
      <c r="J14" s="835"/>
    </row>
    <row r="15" spans="1:10" x14ac:dyDescent="0.2">
      <c r="A15" s="129" t="s">
        <v>15</v>
      </c>
      <c r="B15" s="30"/>
      <c r="C15" s="120"/>
      <c r="D15" s="120"/>
      <c r="E15" s="120"/>
      <c r="F15" s="197"/>
      <c r="G15" s="119"/>
      <c r="H15" s="119"/>
      <c r="I15" s="270"/>
      <c r="J15" s="835"/>
    </row>
    <row r="16" spans="1:10" ht="12.95" customHeight="1" thickBot="1" x14ac:dyDescent="0.25">
      <c r="A16" s="165" t="s">
        <v>16</v>
      </c>
      <c r="B16" s="196"/>
      <c r="C16" s="167"/>
      <c r="D16" s="167"/>
      <c r="E16" s="167"/>
      <c r="F16" s="166" t="s">
        <v>36</v>
      </c>
      <c r="G16" s="276"/>
      <c r="H16" s="276"/>
      <c r="I16" s="274"/>
      <c r="J16" s="835"/>
    </row>
    <row r="17" spans="1:10" ht="15.95" customHeight="1" thickBot="1" x14ac:dyDescent="0.25">
      <c r="A17" s="132" t="s">
        <v>17</v>
      </c>
      <c r="B17" s="60" t="s">
        <v>300</v>
      </c>
      <c r="C17" s="122">
        <f>+C6+C8+C9+C11+C12+C13+C14+C15+C16</f>
        <v>32917357</v>
      </c>
      <c r="D17" s="122">
        <f>+D6+D8+D9+D11+D12+D13+D14+D15+D16</f>
        <v>148028862</v>
      </c>
      <c r="E17" s="122">
        <f>+E6+E8+E9+E11+E12+E13+E14+E15+E16</f>
        <v>103148000</v>
      </c>
      <c r="F17" s="60" t="s">
        <v>301</v>
      </c>
      <c r="G17" s="122">
        <f>+G6+G8+G10+G11+G12+G13+G14+G15+G16</f>
        <v>128490915</v>
      </c>
      <c r="H17" s="122">
        <f>+H6+H8+H10+H11+H12+H13+H14+H15+H16</f>
        <v>246154305</v>
      </c>
      <c r="I17" s="150">
        <f>+I6+I8+I10+I11+I12+I13+I14+I15+I16</f>
        <v>153983272</v>
      </c>
      <c r="J17" s="835"/>
    </row>
    <row r="18" spans="1:10" ht="12.95" customHeight="1" x14ac:dyDescent="0.2">
      <c r="A18" s="127" t="s">
        <v>18</v>
      </c>
      <c r="B18" s="140" t="s">
        <v>160</v>
      </c>
      <c r="C18" s="147">
        <f>+C19+C20+C21+C22+C23</f>
        <v>95573558</v>
      </c>
      <c r="D18" s="147">
        <f>+D19+D20+D21+D22+D23</f>
        <v>98125443</v>
      </c>
      <c r="E18" s="147">
        <f>+E19+E20+E21+E22+E23</f>
        <v>98125443</v>
      </c>
      <c r="F18" s="135" t="s">
        <v>129</v>
      </c>
      <c r="G18" s="277"/>
      <c r="H18" s="277"/>
      <c r="I18" s="275"/>
      <c r="J18" s="835"/>
    </row>
    <row r="19" spans="1:10" ht="12.95" customHeight="1" x14ac:dyDescent="0.2">
      <c r="A19" s="129" t="s">
        <v>19</v>
      </c>
      <c r="B19" s="141" t="s">
        <v>149</v>
      </c>
      <c r="C19" s="49">
        <v>95573558</v>
      </c>
      <c r="D19" s="49">
        <v>98125443</v>
      </c>
      <c r="E19" s="49">
        <v>98125443</v>
      </c>
      <c r="F19" s="135" t="s">
        <v>132</v>
      </c>
      <c r="G19" s="49"/>
      <c r="H19" s="49"/>
      <c r="I19" s="273"/>
      <c r="J19" s="835"/>
    </row>
    <row r="20" spans="1:10" ht="12.95" customHeight="1" x14ac:dyDescent="0.2">
      <c r="A20" s="127" t="s">
        <v>20</v>
      </c>
      <c r="B20" s="141" t="s">
        <v>150</v>
      </c>
      <c r="C20" s="49"/>
      <c r="D20" s="49"/>
      <c r="E20" s="49"/>
      <c r="F20" s="135" t="s">
        <v>103</v>
      </c>
      <c r="G20" s="49"/>
      <c r="H20" s="49"/>
      <c r="I20" s="273"/>
      <c r="J20" s="835"/>
    </row>
    <row r="21" spans="1:10" ht="12.95" customHeight="1" x14ac:dyDescent="0.2">
      <c r="A21" s="129" t="s">
        <v>21</v>
      </c>
      <c r="B21" s="141" t="s">
        <v>151</v>
      </c>
      <c r="C21" s="49"/>
      <c r="D21" s="49"/>
      <c r="E21" s="49"/>
      <c r="F21" s="135" t="s">
        <v>104</v>
      </c>
      <c r="G21" s="49"/>
      <c r="H21" s="49"/>
      <c r="I21" s="273"/>
      <c r="J21" s="835"/>
    </row>
    <row r="22" spans="1:10" ht="12.95" customHeight="1" x14ac:dyDescent="0.2">
      <c r="A22" s="127" t="s">
        <v>22</v>
      </c>
      <c r="B22" s="141" t="s">
        <v>152</v>
      </c>
      <c r="C22" s="49"/>
      <c r="D22" s="49"/>
      <c r="E22" s="49"/>
      <c r="F22" s="134" t="s">
        <v>148</v>
      </c>
      <c r="G22" s="49"/>
      <c r="H22" s="49"/>
      <c r="I22" s="273"/>
      <c r="J22" s="835"/>
    </row>
    <row r="23" spans="1:10" ht="12.95" customHeight="1" x14ac:dyDescent="0.2">
      <c r="A23" s="129" t="s">
        <v>23</v>
      </c>
      <c r="B23" s="142" t="s">
        <v>153</v>
      </c>
      <c r="C23" s="49"/>
      <c r="D23" s="49"/>
      <c r="E23" s="49"/>
      <c r="F23" s="135" t="s">
        <v>133</v>
      </c>
      <c r="G23" s="49"/>
      <c r="H23" s="49"/>
      <c r="I23" s="273"/>
      <c r="J23" s="835"/>
    </row>
    <row r="24" spans="1:10" ht="12.95" customHeight="1" x14ac:dyDescent="0.2">
      <c r="A24" s="127" t="s">
        <v>24</v>
      </c>
      <c r="B24" s="143" t="s">
        <v>154</v>
      </c>
      <c r="C24" s="137">
        <f>+C25+C26+C27+C28+C29</f>
        <v>0</v>
      </c>
      <c r="D24" s="137">
        <f>+D25+D26+D27+D28+D29</f>
        <v>0</v>
      </c>
      <c r="E24" s="137">
        <f>+E25+E26+E27+E28+E29</f>
        <v>0</v>
      </c>
      <c r="F24" s="144" t="s">
        <v>131</v>
      </c>
      <c r="G24" s="49"/>
      <c r="H24" s="49"/>
      <c r="I24" s="273"/>
      <c r="J24" s="835"/>
    </row>
    <row r="25" spans="1:10" ht="12.95" customHeight="1" x14ac:dyDescent="0.2">
      <c r="A25" s="129" t="s">
        <v>25</v>
      </c>
      <c r="B25" s="142" t="s">
        <v>155</v>
      </c>
      <c r="C25" s="49"/>
      <c r="D25" s="49"/>
      <c r="E25" s="49"/>
      <c r="F25" s="144" t="s">
        <v>294</v>
      </c>
      <c r="G25" s="49"/>
      <c r="H25" s="49"/>
      <c r="I25" s="273"/>
      <c r="J25" s="835"/>
    </row>
    <row r="26" spans="1:10" ht="12.95" customHeight="1" x14ac:dyDescent="0.2">
      <c r="A26" s="127" t="s">
        <v>26</v>
      </c>
      <c r="B26" s="142" t="s">
        <v>156</v>
      </c>
      <c r="C26" s="49"/>
      <c r="D26" s="49"/>
      <c r="E26" s="49"/>
      <c r="F26" s="139"/>
      <c r="G26" s="49"/>
      <c r="H26" s="49"/>
      <c r="I26" s="273"/>
      <c r="J26" s="835"/>
    </row>
    <row r="27" spans="1:10" ht="12.95" customHeight="1" x14ac:dyDescent="0.2">
      <c r="A27" s="129" t="s">
        <v>27</v>
      </c>
      <c r="B27" s="141" t="s">
        <v>157</v>
      </c>
      <c r="C27" s="49"/>
      <c r="D27" s="49"/>
      <c r="E27" s="49"/>
      <c r="F27" s="58"/>
      <c r="G27" s="49"/>
      <c r="H27" s="49"/>
      <c r="I27" s="273"/>
      <c r="J27" s="835"/>
    </row>
    <row r="28" spans="1:10" ht="12.95" customHeight="1" x14ac:dyDescent="0.2">
      <c r="A28" s="127" t="s">
        <v>28</v>
      </c>
      <c r="B28" s="145" t="s">
        <v>158</v>
      </c>
      <c r="C28" s="49"/>
      <c r="D28" s="49"/>
      <c r="E28" s="49"/>
      <c r="F28" s="30"/>
      <c r="G28" s="49"/>
      <c r="H28" s="49"/>
      <c r="I28" s="273"/>
      <c r="J28" s="835"/>
    </row>
    <row r="29" spans="1:10" ht="12.95" customHeight="1" thickBot="1" x14ac:dyDescent="0.25">
      <c r="A29" s="129" t="s">
        <v>29</v>
      </c>
      <c r="B29" s="146" t="s">
        <v>159</v>
      </c>
      <c r="C29" s="49"/>
      <c r="D29" s="49"/>
      <c r="E29" s="49"/>
      <c r="F29" s="58"/>
      <c r="G29" s="49"/>
      <c r="H29" s="49"/>
      <c r="I29" s="273"/>
      <c r="J29" s="835"/>
    </row>
    <row r="30" spans="1:10" ht="21.75" customHeight="1" thickBot="1" x14ac:dyDescent="0.25">
      <c r="A30" s="132" t="s">
        <v>30</v>
      </c>
      <c r="B30" s="60" t="s">
        <v>291</v>
      </c>
      <c r="C30" s="122">
        <f>+C18+C24</f>
        <v>95573558</v>
      </c>
      <c r="D30" s="122">
        <f>+D18+D24</f>
        <v>98125443</v>
      </c>
      <c r="E30" s="122">
        <f>+E18+E24</f>
        <v>98125443</v>
      </c>
      <c r="F30" s="60" t="s">
        <v>295</v>
      </c>
      <c r="G30" s="122">
        <f>SUM(G18:G29)</f>
        <v>0</v>
      </c>
      <c r="H30" s="122">
        <f>SUM(H18:H29)</f>
        <v>0</v>
      </c>
      <c r="I30" s="150">
        <f>SUM(I18:I29)</f>
        <v>0</v>
      </c>
      <c r="J30" s="835"/>
    </row>
    <row r="31" spans="1:10" ht="13.5" thickBot="1" x14ac:dyDescent="0.25">
      <c r="A31" s="132" t="s">
        <v>31</v>
      </c>
      <c r="B31" s="138" t="s">
        <v>296</v>
      </c>
      <c r="C31" s="309">
        <f>+C17+C30</f>
        <v>128490915</v>
      </c>
      <c r="D31" s="309">
        <f>+D17+D30</f>
        <v>246154305</v>
      </c>
      <c r="E31" s="310">
        <f>+E17+E30</f>
        <v>201273443</v>
      </c>
      <c r="F31" s="138" t="s">
        <v>297</v>
      </c>
      <c r="G31" s="309">
        <f>+G17+G30</f>
        <v>128490915</v>
      </c>
      <c r="H31" s="309">
        <f>+H17+H30</f>
        <v>246154305</v>
      </c>
      <c r="I31" s="310">
        <f>+I17+I30</f>
        <v>153983272</v>
      </c>
      <c r="J31" s="835"/>
    </row>
    <row r="32" spans="1:10" ht="13.5" thickBot="1" x14ac:dyDescent="0.25">
      <c r="A32" s="132" t="s">
        <v>32</v>
      </c>
      <c r="B32" s="138" t="s">
        <v>107</v>
      </c>
      <c r="C32" s="309">
        <f>IF(C17-G17&lt;0,G17-C17,"-")</f>
        <v>95573558</v>
      </c>
      <c r="D32" s="309">
        <f>IF(D17-H17&lt;0,H17-D17,"-")</f>
        <v>98125443</v>
      </c>
      <c r="E32" s="310">
        <f>IF(E17-I17&lt;0,I17-E17,"-")</f>
        <v>50835272</v>
      </c>
      <c r="F32" s="138" t="s">
        <v>108</v>
      </c>
      <c r="G32" s="309" t="str">
        <f>IF(C17-G17&gt;0,C17-G17,"-")</f>
        <v>-</v>
      </c>
      <c r="H32" s="309" t="str">
        <f>IF(D17-H17&gt;0,D17-H17,"-")</f>
        <v>-</v>
      </c>
      <c r="I32" s="310" t="str">
        <f>IF(E17-I17&gt;0,E17-I17,"-")</f>
        <v>-</v>
      </c>
      <c r="J32" s="835"/>
    </row>
    <row r="33" spans="1:10" ht="13.5" thickBot="1" x14ac:dyDescent="0.25">
      <c r="A33" s="132" t="s">
        <v>33</v>
      </c>
      <c r="B33" s="138" t="s">
        <v>487</v>
      </c>
      <c r="C33" s="309" t="str">
        <f>IF(C31-G31&lt;0,G31-C31,"-")</f>
        <v>-</v>
      </c>
      <c r="D33" s="309" t="str">
        <f>IF(D31-H31&lt;0,H31-D31,"-")</f>
        <v>-</v>
      </c>
      <c r="E33" s="309" t="str">
        <f>IF(E31-I31&lt;0,I31-E31,"-")</f>
        <v>-</v>
      </c>
      <c r="F33" s="138" t="s">
        <v>488</v>
      </c>
      <c r="G33" s="309" t="str">
        <f>IF(C31-G31&gt;0,C31-G31,"-")</f>
        <v>-</v>
      </c>
      <c r="H33" s="309" t="str">
        <f>IF(D31-H31&gt;0,D31-H31,"-")</f>
        <v>-</v>
      </c>
      <c r="I33" s="309">
        <f>IF(E31-I31&gt;0,E31-I31,"-")</f>
        <v>47290171</v>
      </c>
      <c r="J33" s="835"/>
    </row>
  </sheetData>
  <sheetProtection sheet="1" formatCells="0"/>
  <mergeCells count="2">
    <mergeCell ref="A3:A4"/>
    <mergeCell ref="J1:J33"/>
  </mergeCells>
  <phoneticPr fontId="0" type="noConversion"/>
  <printOptions horizontalCentered="1"/>
  <pageMargins left="0.78740157480314965" right="0.78740157480314965" top="0.47244094488188981" bottom="0.78740157480314965" header="0.47244094488188981" footer="0.78740157480314965"/>
  <pageSetup paperSize="9" scale="70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DA48B-84CA-4D13-BA17-AE062BFB1522}">
  <sheetPr>
    <tabColor theme="0" tint="-0.499984740745262"/>
    <pageSetUpPr fitToPage="1"/>
  </sheetPr>
  <dimension ref="A1:E38"/>
  <sheetViews>
    <sheetView zoomScale="120" zoomScaleNormal="120" workbookViewId="0">
      <selection activeCell="C19" sqref="C19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279" t="s">
        <v>519</v>
      </c>
      <c r="B1" s="82"/>
      <c r="C1" s="82"/>
      <c r="D1" s="82"/>
      <c r="E1" s="280" t="s">
        <v>102</v>
      </c>
    </row>
    <row r="2" spans="1:5" x14ac:dyDescent="0.2">
      <c r="A2" s="82"/>
      <c r="B2" s="82"/>
      <c r="C2" s="82"/>
      <c r="D2" s="82"/>
      <c r="E2" s="82"/>
    </row>
    <row r="3" spans="1:5" x14ac:dyDescent="0.2">
      <c r="A3" s="281"/>
      <c r="B3" s="282"/>
      <c r="C3" s="281"/>
      <c r="D3" s="283"/>
      <c r="E3" s="282"/>
    </row>
    <row r="4" spans="1:5" ht="15.75" x14ac:dyDescent="0.25">
      <c r="A4" s="84" t="str">
        <f>+Z_ÖSSZEFÜGGÉSEK!A6</f>
        <v>2021. évi eredeti előirányzat BEVÉTELEK</v>
      </c>
      <c r="B4" s="284"/>
      <c r="C4" s="285"/>
      <c r="D4" s="283"/>
      <c r="E4" s="282"/>
    </row>
    <row r="5" spans="1:5" x14ac:dyDescent="0.2">
      <c r="A5" s="281"/>
      <c r="B5" s="282"/>
      <c r="C5" s="281"/>
      <c r="D5" s="283"/>
      <c r="E5" s="282"/>
    </row>
    <row r="6" spans="1:5" x14ac:dyDescent="0.2">
      <c r="A6" s="281" t="s">
        <v>455</v>
      </c>
      <c r="B6" s="282">
        <f>+'Z_1.1.sz.mell.'!C68</f>
        <v>479541179</v>
      </c>
      <c r="C6" s="281" t="s">
        <v>425</v>
      </c>
      <c r="D6" s="283">
        <f>+'Z_2.1.sz.mell'!C18+'Z_2.2.sz.mell'!C17</f>
        <v>479541179</v>
      </c>
      <c r="E6" s="282">
        <f>+B6-D6</f>
        <v>0</v>
      </c>
    </row>
    <row r="7" spans="1:5" x14ac:dyDescent="0.2">
      <c r="A7" s="281" t="s">
        <v>471</v>
      </c>
      <c r="B7" s="282">
        <f>+'Z_1.1.sz.mell.'!C92</f>
        <v>182743567</v>
      </c>
      <c r="C7" s="281" t="s">
        <v>431</v>
      </c>
      <c r="D7" s="283">
        <f>+'Z_2.1.sz.mell'!C29+'Z_2.2.sz.mell'!C30</f>
        <v>182743567</v>
      </c>
      <c r="E7" s="282">
        <f>+B7-D7</f>
        <v>0</v>
      </c>
    </row>
    <row r="8" spans="1:5" x14ac:dyDescent="0.2">
      <c r="A8" s="281" t="s">
        <v>472</v>
      </c>
      <c r="B8" s="282">
        <f>+'Z_1.1.sz.mell.'!C93</f>
        <v>662284746</v>
      </c>
      <c r="C8" s="281" t="s">
        <v>432</v>
      </c>
      <c r="D8" s="283">
        <f>+'Z_2.1.sz.mell'!C30+'Z_2.2.sz.mell'!C31</f>
        <v>662284746</v>
      </c>
      <c r="E8" s="282">
        <f>+B8-D8</f>
        <v>0</v>
      </c>
    </row>
    <row r="9" spans="1:5" x14ac:dyDescent="0.2">
      <c r="A9" s="281"/>
      <c r="B9" s="282"/>
      <c r="C9" s="281"/>
      <c r="D9" s="283"/>
      <c r="E9" s="282"/>
    </row>
    <row r="10" spans="1:5" ht="15.75" x14ac:dyDescent="0.25">
      <c r="A10" s="84" t="str">
        <f>+Z_ÖSSZEFÜGGÉSEK!A13</f>
        <v>2021. évi módosított előirányzat BEVÉTELEK</v>
      </c>
      <c r="B10" s="284"/>
      <c r="C10" s="285"/>
      <c r="D10" s="283"/>
      <c r="E10" s="282"/>
    </row>
    <row r="11" spans="1:5" x14ac:dyDescent="0.2">
      <c r="A11" s="281"/>
      <c r="B11" s="282"/>
      <c r="C11" s="281"/>
      <c r="D11" s="283"/>
      <c r="E11" s="282"/>
    </row>
    <row r="12" spans="1:5" x14ac:dyDescent="0.2">
      <c r="A12" s="281" t="s">
        <v>456</v>
      </c>
      <c r="B12" s="282">
        <f>+'Z_1.1.sz.mell.'!D68</f>
        <v>658443508</v>
      </c>
      <c r="C12" s="281" t="s">
        <v>426</v>
      </c>
      <c r="D12" s="283">
        <f>+'Z_2.1.sz.mell'!D18+'Z_2.2.sz.mell'!D17</f>
        <v>658443508</v>
      </c>
      <c r="E12" s="282">
        <f>+B12-D12</f>
        <v>0</v>
      </c>
    </row>
    <row r="13" spans="1:5" x14ac:dyDescent="0.2">
      <c r="A13" s="281" t="s">
        <v>457</v>
      </c>
      <c r="B13" s="282">
        <f>+'Z_1.1.sz.mell.'!D92</f>
        <v>165635318</v>
      </c>
      <c r="C13" s="281" t="s">
        <v>433</v>
      </c>
      <c r="D13" s="283">
        <f>+'Z_2.1.sz.mell'!D29+'Z_2.2.sz.mell'!D30</f>
        <v>165635318</v>
      </c>
      <c r="E13" s="282">
        <f>+B13-D13</f>
        <v>0</v>
      </c>
    </row>
    <row r="14" spans="1:5" x14ac:dyDescent="0.2">
      <c r="A14" s="281" t="s">
        <v>458</v>
      </c>
      <c r="B14" s="282">
        <f>+'Z_1.1.sz.mell.'!D93</f>
        <v>824078826</v>
      </c>
      <c r="C14" s="281" t="s">
        <v>434</v>
      </c>
      <c r="D14" s="283">
        <f>+'Z_2.1.sz.mell'!D30+'Z_2.2.sz.mell'!D31</f>
        <v>824078826</v>
      </c>
      <c r="E14" s="282">
        <f>+B14-D14</f>
        <v>0</v>
      </c>
    </row>
    <row r="15" spans="1:5" x14ac:dyDescent="0.2">
      <c r="A15" s="281"/>
      <c r="B15" s="282"/>
      <c r="C15" s="281"/>
      <c r="D15" s="283"/>
      <c r="E15" s="282"/>
    </row>
    <row r="16" spans="1:5" ht="14.25" x14ac:dyDescent="0.2">
      <c r="A16" s="286" t="str">
        <f>+Z_ÖSSZEFÜGGÉSEK!A19</f>
        <v>2021.évi teljesített BEVÉTELEK</v>
      </c>
      <c r="B16" s="83"/>
      <c r="C16" s="285"/>
      <c r="D16" s="283"/>
      <c r="E16" s="282"/>
    </row>
    <row r="17" spans="1:5" x14ac:dyDescent="0.2">
      <c r="A17" s="281"/>
      <c r="B17" s="282"/>
      <c r="C17" s="281"/>
      <c r="D17" s="283"/>
      <c r="E17" s="282"/>
    </row>
    <row r="18" spans="1:5" x14ac:dyDescent="0.2">
      <c r="A18" s="281" t="s">
        <v>459</v>
      </c>
      <c r="B18" s="282">
        <f>+'Z_1.1.sz.mell.'!E68</f>
        <v>616407331</v>
      </c>
      <c r="C18" s="281" t="s">
        <v>427</v>
      </c>
      <c r="D18" s="283">
        <f>+'Z_2.1.sz.mell'!E18+'Z_2.2.sz.mell'!E17</f>
        <v>616407331</v>
      </c>
      <c r="E18" s="282">
        <f>+B18-D18</f>
        <v>0</v>
      </c>
    </row>
    <row r="19" spans="1:5" x14ac:dyDescent="0.2">
      <c r="A19" s="281" t="s">
        <v>460</v>
      </c>
      <c r="B19" s="282">
        <f>+'Z_1.1.sz.mell.'!E92</f>
        <v>172721559</v>
      </c>
      <c r="C19" s="281" t="s">
        <v>435</v>
      </c>
      <c r="D19" s="283">
        <f>+'Z_2.1.sz.mell'!E29+'Z_2.2.sz.mell'!E30</f>
        <v>172721559</v>
      </c>
      <c r="E19" s="282">
        <f>+B19-D19</f>
        <v>0</v>
      </c>
    </row>
    <row r="20" spans="1:5" x14ac:dyDescent="0.2">
      <c r="A20" s="281" t="s">
        <v>461</v>
      </c>
      <c r="B20" s="282">
        <f>+'Z_1.1.sz.mell.'!E93</f>
        <v>789128890</v>
      </c>
      <c r="C20" s="281" t="s">
        <v>436</v>
      </c>
      <c r="D20" s="283">
        <f>+'Z_2.1.sz.mell'!E30+'Z_2.2.sz.mell'!E31</f>
        <v>789128890</v>
      </c>
      <c r="E20" s="282">
        <f>+B20-D20</f>
        <v>0</v>
      </c>
    </row>
    <row r="21" spans="1:5" x14ac:dyDescent="0.2">
      <c r="A21" s="281"/>
      <c r="B21" s="282"/>
      <c r="C21" s="281"/>
      <c r="D21" s="283"/>
      <c r="E21" s="282"/>
    </row>
    <row r="22" spans="1:5" ht="15.75" x14ac:dyDescent="0.25">
      <c r="A22" s="84" t="str">
        <f>+Z_ÖSSZEFÜGGÉSEK!A25</f>
        <v>2021. évi eredeti előirányzat KIADÁSOK</v>
      </c>
      <c r="B22" s="284"/>
      <c r="C22" s="285"/>
      <c r="D22" s="283"/>
      <c r="E22" s="282"/>
    </row>
    <row r="23" spans="1:5" x14ac:dyDescent="0.2">
      <c r="A23" s="281"/>
      <c r="B23" s="282"/>
      <c r="C23" s="281"/>
      <c r="D23" s="283"/>
      <c r="E23" s="282"/>
    </row>
    <row r="24" spans="1:5" x14ac:dyDescent="0.2">
      <c r="A24" s="281" t="s">
        <v>473</v>
      </c>
      <c r="B24" s="282">
        <f>+'Z_1.1.sz.mell.'!C135</f>
        <v>655529557</v>
      </c>
      <c r="C24" s="281" t="s">
        <v>428</v>
      </c>
      <c r="D24" s="283">
        <f>+'Z_2.1.sz.mell'!G18+'Z_2.2.sz.mell'!G17</f>
        <v>655529557</v>
      </c>
      <c r="E24" s="282">
        <f>+B24-D24</f>
        <v>0</v>
      </c>
    </row>
    <row r="25" spans="1:5" x14ac:dyDescent="0.2">
      <c r="A25" s="281" t="s">
        <v>463</v>
      </c>
      <c r="B25" s="282">
        <f>+'Z_1.1.sz.mell.'!C160</f>
        <v>6755189</v>
      </c>
      <c r="C25" s="281" t="s">
        <v>437</v>
      </c>
      <c r="D25" s="283">
        <f>+'Z_2.1.sz.mell'!G29+'Z_2.2.sz.mell'!G30</f>
        <v>6755189</v>
      </c>
      <c r="E25" s="282">
        <f>+B25-D25</f>
        <v>0</v>
      </c>
    </row>
    <row r="26" spans="1:5" x14ac:dyDescent="0.2">
      <c r="A26" s="281" t="s">
        <v>464</v>
      </c>
      <c r="B26" s="282">
        <f>+'Z_1.1.sz.mell.'!C161</f>
        <v>662284746</v>
      </c>
      <c r="C26" s="281" t="s">
        <v>438</v>
      </c>
      <c r="D26" s="283">
        <f>+'Z_2.1.sz.mell'!G30+'Z_2.2.sz.mell'!G31</f>
        <v>662284746</v>
      </c>
      <c r="E26" s="282">
        <f>+B26-D26</f>
        <v>0</v>
      </c>
    </row>
    <row r="27" spans="1:5" x14ac:dyDescent="0.2">
      <c r="A27" s="281"/>
      <c r="B27" s="282"/>
      <c r="C27" s="281"/>
      <c r="D27" s="283"/>
      <c r="E27" s="282"/>
    </row>
    <row r="28" spans="1:5" ht="15.75" x14ac:dyDescent="0.25">
      <c r="A28" s="84" t="str">
        <f>+Z_ÖSSZEFÜGGÉSEK!A31</f>
        <v>2021. évi módosított előirányzat KIADÁSOK</v>
      </c>
      <c r="B28" s="284"/>
      <c r="C28" s="285"/>
      <c r="D28" s="283"/>
      <c r="E28" s="282"/>
    </row>
    <row r="29" spans="1:5" x14ac:dyDescent="0.2">
      <c r="A29" s="281"/>
      <c r="B29" s="282"/>
      <c r="C29" s="281"/>
      <c r="D29" s="283"/>
      <c r="E29" s="282"/>
    </row>
    <row r="30" spans="1:5" x14ac:dyDescent="0.2">
      <c r="A30" s="281" t="s">
        <v>465</v>
      </c>
      <c r="B30" s="282">
        <f>+'Z_1.1.sz.mell.'!D135</f>
        <v>816768963</v>
      </c>
      <c r="C30" s="281" t="s">
        <v>429</v>
      </c>
      <c r="D30" s="283">
        <f>+'Z_2.1.sz.mell'!H18+'Z_2.2.sz.mell'!H17</f>
        <v>816768963</v>
      </c>
      <c r="E30" s="282">
        <f>+B30-D30</f>
        <v>0</v>
      </c>
    </row>
    <row r="31" spans="1:5" x14ac:dyDescent="0.2">
      <c r="A31" s="281" t="s">
        <v>466</v>
      </c>
      <c r="B31" s="282">
        <f>+'Z_1.1.sz.mell.'!D160</f>
        <v>7309863</v>
      </c>
      <c r="C31" s="281" t="s">
        <v>439</v>
      </c>
      <c r="D31" s="283">
        <f>+'Z_2.1.sz.mell'!H29+'Z_2.2.sz.mell'!H30</f>
        <v>7309863</v>
      </c>
      <c r="E31" s="282">
        <f>+B31-D31</f>
        <v>0</v>
      </c>
    </row>
    <row r="32" spans="1:5" x14ac:dyDescent="0.2">
      <c r="A32" s="281" t="s">
        <v>467</v>
      </c>
      <c r="B32" s="282">
        <f>+'Z_1.1.sz.mell.'!D161</f>
        <v>824078826</v>
      </c>
      <c r="C32" s="281" t="s">
        <v>440</v>
      </c>
      <c r="D32" s="283">
        <f>+'Z_2.1.sz.mell'!H30+'Z_2.2.sz.mell'!H31</f>
        <v>824078826</v>
      </c>
      <c r="E32" s="282">
        <f>+B32-D32</f>
        <v>0</v>
      </c>
    </row>
    <row r="33" spans="1:5" x14ac:dyDescent="0.2">
      <c r="A33" s="281"/>
      <c r="B33" s="282"/>
      <c r="C33" s="281"/>
      <c r="D33" s="283"/>
      <c r="E33" s="282"/>
    </row>
    <row r="34" spans="1:5" ht="15.75" x14ac:dyDescent="0.25">
      <c r="A34" s="287" t="str">
        <f>+Z_ÖSSZEFÜGGÉSEK!A37</f>
        <v>2021.évi teljesített KIADÁSOK</v>
      </c>
      <c r="B34" s="284"/>
      <c r="C34" s="285"/>
      <c r="D34" s="283"/>
      <c r="E34" s="282"/>
    </row>
    <row r="35" spans="1:5" x14ac:dyDescent="0.2">
      <c r="A35" s="281"/>
      <c r="B35" s="282"/>
      <c r="C35" s="281"/>
      <c r="D35" s="283"/>
      <c r="E35" s="282"/>
    </row>
    <row r="36" spans="1:5" x14ac:dyDescent="0.2">
      <c r="A36" s="281" t="s">
        <v>468</v>
      </c>
      <c r="B36" s="282">
        <f>+'Z_1.1.sz.mell.'!E135</f>
        <v>670583450</v>
      </c>
      <c r="C36" s="281" t="s">
        <v>430</v>
      </c>
      <c r="D36" s="283">
        <f>+'Z_2.1.sz.mell'!I18+'Z_2.2.sz.mell'!I17</f>
        <v>670583450</v>
      </c>
      <c r="E36" s="282">
        <f>+B36-D36</f>
        <v>0</v>
      </c>
    </row>
    <row r="37" spans="1:5" x14ac:dyDescent="0.2">
      <c r="A37" s="281" t="s">
        <v>469</v>
      </c>
      <c r="B37" s="282">
        <f>+'Z_1.1.sz.mell.'!E160</f>
        <v>7309863</v>
      </c>
      <c r="C37" s="281" t="s">
        <v>441</v>
      </c>
      <c r="D37" s="283">
        <f>+'Z_2.1.sz.mell'!I29+'Z_2.2.sz.mell'!I30</f>
        <v>7309863</v>
      </c>
      <c r="E37" s="282">
        <f>+B37-D37</f>
        <v>0</v>
      </c>
    </row>
    <row r="38" spans="1:5" x14ac:dyDescent="0.2">
      <c r="A38" s="281" t="s">
        <v>474</v>
      </c>
      <c r="B38" s="282">
        <f>+'Z_1.1.sz.mell.'!E161</f>
        <v>677893313</v>
      </c>
      <c r="C38" s="281" t="s">
        <v>442</v>
      </c>
      <c r="D38" s="283">
        <f>+'Z_2.1.sz.mell'!I30+'Z_2.2.sz.mell'!I31</f>
        <v>677893313</v>
      </c>
      <c r="E38" s="282">
        <f>+B38-D38</f>
        <v>0</v>
      </c>
    </row>
  </sheetData>
  <sheetProtection sheet="1"/>
  <phoneticPr fontId="24" type="noConversion"/>
  <conditionalFormatting sqref="E3:E15">
    <cfRule type="cellIs" dxfId="1" priority="2" stopIfTrue="1" operator="notEqual">
      <formula>0</formula>
    </cfRule>
  </conditionalFormatting>
  <conditionalFormatting sqref="E3:E38">
    <cfRule type="cellIs" dxfId="0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F695-4778-4590-82C1-C67811D83082}">
  <sheetPr>
    <tabColor theme="5"/>
  </sheetPr>
  <dimension ref="A1:H25"/>
  <sheetViews>
    <sheetView view="pageLayout" zoomScaleNormal="120" workbookViewId="0">
      <selection activeCell="F10" sqref="F10"/>
    </sheetView>
  </sheetViews>
  <sheetFormatPr defaultRowHeight="12.75" x14ac:dyDescent="0.2"/>
  <cols>
    <col min="1" max="1" width="47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33" customWidth="1"/>
    <col min="8" max="8" width="4.33203125" style="27" customWidth="1"/>
    <col min="9" max="9" width="12.83203125" style="27" customWidth="1"/>
    <col min="10" max="10" width="13.83203125" style="27" customWidth="1"/>
    <col min="11" max="16384" width="9.33203125" style="27"/>
  </cols>
  <sheetData>
    <row r="1" spans="1:8" ht="25.5" customHeight="1" x14ac:dyDescent="0.2">
      <c r="A1" s="836" t="s">
        <v>520</v>
      </c>
      <c r="B1" s="836"/>
      <c r="C1" s="836"/>
      <c r="D1" s="836"/>
      <c r="E1" s="836"/>
      <c r="F1" s="836"/>
      <c r="G1" s="836"/>
      <c r="H1" s="837" t="str">
        <f>CONCATENATE("3. melléklet ",Z_ALAPADATOK!$A$7," ",Z_ALAPADATOK!$B$7," ",Z_ALAPADATOK!$C$7," ",Z_ALAPADATOK!$D$7," ",Z_ALAPADATOK!$E$7," ",Z_ALAPADATOK!$F$7," ",Z_ALAPADATOK!$G$7," ",Z_ALAPADATOK!$H$7)</f>
        <v>3. melléklet a … / 2022. ( … ) önkormányzati rendelethez</v>
      </c>
    </row>
    <row r="2" spans="1:8" ht="22.5" customHeight="1" thickBot="1" x14ac:dyDescent="0.3">
      <c r="A2" s="343"/>
      <c r="B2" s="344"/>
      <c r="C2" s="344"/>
      <c r="D2" s="344"/>
      <c r="E2" s="344"/>
      <c r="F2" s="344"/>
      <c r="G2" s="345" t="str">
        <f>'Z_2.2.sz.mell'!I2</f>
        <v xml:space="preserve"> Forintban!</v>
      </c>
      <c r="H2" s="837"/>
    </row>
    <row r="3" spans="1:8" s="29" customFormat="1" ht="44.45" customHeight="1" thickBot="1" x14ac:dyDescent="0.25">
      <c r="A3" s="346" t="s">
        <v>47</v>
      </c>
      <c r="B3" s="316" t="s">
        <v>48</v>
      </c>
      <c r="C3" s="316" t="s">
        <v>49</v>
      </c>
      <c r="D3" s="316" t="str">
        <f>+CONCATENATE("Felhasználás   ",LEFT(Z_ÖSSZEFÜGGÉSEK!A6,4)-1,". XII. 31-ig")</f>
        <v>Felhasználás   2020. XII. 31-ig</v>
      </c>
      <c r="E3" s="316" t="str">
        <f>+CONCATENATE(LEFT(Z_ÖSSZEFÜGGÉSEK!A6,4),". évi",CHAR(10),"módosított előirányzat")</f>
        <v>2021. évi
módosított előirányzat</v>
      </c>
      <c r="F3" s="316" t="str">
        <f>+CONCATENATE("Teljesítés",CHAR(10),LEFT(Z_ÖSSZEFÜGGÉSEK!A6,4),". I. 1-től XII.31-ig")</f>
        <v>Teljesítés
2021. I. 1-től XII.31-ig</v>
      </c>
      <c r="G3" s="317" t="str">
        <f>+CONCATENATE("Összes teljesítés",CHAR(10),LEFT(Z_ÖSSZEFÜGGÉSEK!A6,4),". XII. 31-ig")</f>
        <v>Összes teljesítés
2021. XII. 31-ig</v>
      </c>
      <c r="H3" s="837"/>
    </row>
    <row r="4" spans="1:8" s="33" customFormat="1" ht="12" customHeight="1" thickBot="1" x14ac:dyDescent="0.25">
      <c r="A4" s="347" t="s">
        <v>385</v>
      </c>
      <c r="B4" s="348" t="s">
        <v>386</v>
      </c>
      <c r="C4" s="348" t="s">
        <v>387</v>
      </c>
      <c r="D4" s="348" t="s">
        <v>389</v>
      </c>
      <c r="E4" s="348" t="s">
        <v>388</v>
      </c>
      <c r="F4" s="348" t="s">
        <v>390</v>
      </c>
      <c r="G4" s="349" t="s">
        <v>443</v>
      </c>
      <c r="H4" s="837"/>
    </row>
    <row r="5" spans="1:8" ht="15.95" customHeight="1" x14ac:dyDescent="0.2">
      <c r="A5" s="227" t="s">
        <v>893</v>
      </c>
      <c r="B5" s="21">
        <v>94869</v>
      </c>
      <c r="C5" s="228" t="s">
        <v>877</v>
      </c>
      <c r="D5" s="21"/>
      <c r="E5" s="21"/>
      <c r="F5" s="21">
        <v>94869</v>
      </c>
      <c r="G5" s="34">
        <f>D5+F5</f>
        <v>94869</v>
      </c>
      <c r="H5" s="837"/>
    </row>
    <row r="6" spans="1:8" ht="15.95" customHeight="1" x14ac:dyDescent="0.2">
      <c r="A6" s="227" t="s">
        <v>876</v>
      </c>
      <c r="B6" s="21">
        <v>1188720</v>
      </c>
      <c r="C6" s="228" t="s">
        <v>877</v>
      </c>
      <c r="D6" s="21"/>
      <c r="E6" s="21"/>
      <c r="F6" s="21">
        <v>1188720</v>
      </c>
      <c r="G6" s="34">
        <f t="shared" ref="G6:G22" si="0">D6+F6</f>
        <v>1188720</v>
      </c>
      <c r="H6" s="837"/>
    </row>
    <row r="7" spans="1:8" ht="15.95" customHeight="1" x14ac:dyDescent="0.2">
      <c r="A7" s="227" t="s">
        <v>878</v>
      </c>
      <c r="B7" s="21">
        <v>3942212</v>
      </c>
      <c r="C7" s="228" t="s">
        <v>895</v>
      </c>
      <c r="D7" s="21">
        <v>2635463</v>
      </c>
      <c r="E7" s="21">
        <v>1306749</v>
      </c>
      <c r="F7" s="21"/>
      <c r="G7" s="34">
        <f t="shared" si="0"/>
        <v>2635463</v>
      </c>
      <c r="H7" s="837"/>
    </row>
    <row r="8" spans="1:8" ht="15.95" customHeight="1" x14ac:dyDescent="0.2">
      <c r="A8" s="227" t="s">
        <v>896</v>
      </c>
      <c r="B8" s="21">
        <v>3421180</v>
      </c>
      <c r="C8" s="228" t="s">
        <v>877</v>
      </c>
      <c r="D8" s="21"/>
      <c r="E8" s="21"/>
      <c r="F8" s="21">
        <v>3421180</v>
      </c>
      <c r="G8" s="34">
        <f t="shared" si="0"/>
        <v>3421180</v>
      </c>
      <c r="H8" s="837"/>
    </row>
    <row r="9" spans="1:8" ht="15.95" customHeight="1" x14ac:dyDescent="0.2">
      <c r="A9" s="227" t="s">
        <v>879</v>
      </c>
      <c r="B9" s="21">
        <v>2840480</v>
      </c>
      <c r="C9" s="228" t="s">
        <v>877</v>
      </c>
      <c r="D9" s="21"/>
      <c r="E9" s="21"/>
      <c r="F9" s="21">
        <v>2840480</v>
      </c>
      <c r="G9" s="34">
        <f t="shared" si="0"/>
        <v>2840480</v>
      </c>
      <c r="H9" s="837"/>
    </row>
    <row r="10" spans="1:8" ht="15.95" customHeight="1" x14ac:dyDescent="0.2">
      <c r="A10" s="227" t="s">
        <v>881</v>
      </c>
      <c r="B10" s="21">
        <v>457200</v>
      </c>
      <c r="C10" s="228" t="s">
        <v>877</v>
      </c>
      <c r="D10" s="21"/>
      <c r="E10" s="21"/>
      <c r="F10" s="21">
        <v>457200</v>
      </c>
      <c r="G10" s="34">
        <f t="shared" si="0"/>
        <v>457200</v>
      </c>
      <c r="H10" s="837"/>
    </row>
    <row r="11" spans="1:8" ht="15.95" customHeight="1" x14ac:dyDescent="0.2">
      <c r="A11" s="227" t="s">
        <v>880</v>
      </c>
      <c r="B11" s="21">
        <v>8509200</v>
      </c>
      <c r="C11" s="228" t="s">
        <v>877</v>
      </c>
      <c r="D11" s="21"/>
      <c r="E11" s="21"/>
      <c r="F11" s="21">
        <v>8509200</v>
      </c>
      <c r="G11" s="34">
        <f t="shared" si="0"/>
        <v>8509200</v>
      </c>
      <c r="H11" s="837"/>
    </row>
    <row r="12" spans="1:8" ht="15.95" customHeight="1" x14ac:dyDescent="0.2">
      <c r="A12" s="227" t="s">
        <v>882</v>
      </c>
      <c r="B12" s="21">
        <v>1834896</v>
      </c>
      <c r="C12" s="228" t="s">
        <v>877</v>
      </c>
      <c r="D12" s="21"/>
      <c r="E12" s="21"/>
      <c r="F12" s="21">
        <v>1834896</v>
      </c>
      <c r="G12" s="34">
        <f t="shared" si="0"/>
        <v>1834896</v>
      </c>
      <c r="H12" s="837"/>
    </row>
    <row r="13" spans="1:8" ht="15.95" customHeight="1" x14ac:dyDescent="0.2">
      <c r="A13" s="227" t="s">
        <v>890</v>
      </c>
      <c r="B13" s="21">
        <v>2034956</v>
      </c>
      <c r="C13" s="228" t="s">
        <v>877</v>
      </c>
      <c r="D13" s="21"/>
      <c r="E13" s="21"/>
      <c r="F13" s="21">
        <v>2034956</v>
      </c>
      <c r="G13" s="34">
        <f t="shared" si="0"/>
        <v>2034956</v>
      </c>
      <c r="H13" s="837"/>
    </row>
    <row r="14" spans="1:8" ht="15.95" customHeight="1" x14ac:dyDescent="0.2">
      <c r="A14" s="227"/>
      <c r="B14" s="21"/>
      <c r="C14" s="228"/>
      <c r="D14" s="21"/>
      <c r="E14" s="21"/>
      <c r="F14" s="21"/>
      <c r="G14" s="34">
        <f t="shared" si="0"/>
        <v>0</v>
      </c>
      <c r="H14" s="837"/>
    </row>
    <row r="15" spans="1:8" ht="15.95" customHeight="1" x14ac:dyDescent="0.2">
      <c r="A15" s="227"/>
      <c r="B15" s="21"/>
      <c r="C15" s="228"/>
      <c r="D15" s="21"/>
      <c r="E15" s="21"/>
      <c r="F15" s="21"/>
      <c r="G15" s="34">
        <f t="shared" si="0"/>
        <v>0</v>
      </c>
      <c r="H15" s="837"/>
    </row>
    <row r="16" spans="1:8" ht="15.95" customHeight="1" x14ac:dyDescent="0.2">
      <c r="A16" s="227" t="s">
        <v>889</v>
      </c>
      <c r="B16" s="21">
        <v>150107</v>
      </c>
      <c r="C16" s="228" t="s">
        <v>877</v>
      </c>
      <c r="D16" s="21"/>
      <c r="E16" s="21"/>
      <c r="F16" s="21">
        <v>150107</v>
      </c>
      <c r="G16" s="34">
        <f t="shared" si="0"/>
        <v>150107</v>
      </c>
      <c r="H16" s="837"/>
    </row>
    <row r="17" spans="1:8" ht="15.95" customHeight="1" x14ac:dyDescent="0.2">
      <c r="A17" s="227" t="s">
        <v>891</v>
      </c>
      <c r="B17" s="21">
        <v>2202669</v>
      </c>
      <c r="C17" s="228" t="s">
        <v>877</v>
      </c>
      <c r="D17" s="21"/>
      <c r="E17" s="21"/>
      <c r="F17" s="21">
        <v>2202669</v>
      </c>
      <c r="G17" s="34">
        <f t="shared" si="0"/>
        <v>2202669</v>
      </c>
      <c r="H17" s="837"/>
    </row>
    <row r="18" spans="1:8" ht="15.95" customHeight="1" x14ac:dyDescent="0.2">
      <c r="A18" s="227" t="s">
        <v>892</v>
      </c>
      <c r="B18" s="21">
        <v>109855</v>
      </c>
      <c r="C18" s="228" t="s">
        <v>877</v>
      </c>
      <c r="D18" s="21"/>
      <c r="E18" s="21"/>
      <c r="F18" s="21">
        <v>109855</v>
      </c>
      <c r="G18" s="34">
        <f t="shared" si="0"/>
        <v>109855</v>
      </c>
      <c r="H18" s="837"/>
    </row>
    <row r="19" spans="1:8" ht="15.95" customHeight="1" x14ac:dyDescent="0.2">
      <c r="A19" s="227" t="s">
        <v>894</v>
      </c>
      <c r="B19" s="21">
        <v>730011</v>
      </c>
      <c r="C19" s="228" t="s">
        <v>877</v>
      </c>
      <c r="D19" s="21"/>
      <c r="E19" s="21"/>
      <c r="F19" s="21">
        <v>730011</v>
      </c>
      <c r="G19" s="34">
        <f t="shared" si="0"/>
        <v>730011</v>
      </c>
      <c r="H19" s="837"/>
    </row>
    <row r="20" spans="1:8" ht="15.95" customHeight="1" x14ac:dyDescent="0.2">
      <c r="A20" s="227"/>
      <c r="B20" s="21"/>
      <c r="C20" s="228"/>
      <c r="D20" s="21"/>
      <c r="E20" s="21"/>
      <c r="F20" s="21"/>
      <c r="G20" s="34">
        <f t="shared" si="0"/>
        <v>0</v>
      </c>
      <c r="H20" s="837"/>
    </row>
    <row r="21" spans="1:8" ht="15.95" customHeight="1" x14ac:dyDescent="0.2">
      <c r="A21" s="227"/>
      <c r="B21" s="21"/>
      <c r="C21" s="228"/>
      <c r="D21" s="21"/>
      <c r="E21" s="21"/>
      <c r="F21" s="21"/>
      <c r="G21" s="34">
        <f t="shared" si="0"/>
        <v>0</v>
      </c>
      <c r="H21" s="837"/>
    </row>
    <row r="22" spans="1:8" ht="15.95" customHeight="1" thickBot="1" x14ac:dyDescent="0.25">
      <c r="A22" s="35"/>
      <c r="B22" s="22"/>
      <c r="C22" s="229"/>
      <c r="D22" s="22"/>
      <c r="E22" s="22"/>
      <c r="F22" s="22"/>
      <c r="G22" s="36">
        <f t="shared" si="0"/>
        <v>0</v>
      </c>
      <c r="H22" s="837"/>
    </row>
    <row r="23" spans="1:8" s="39" customFormat="1" ht="18" customHeight="1" thickBot="1" x14ac:dyDescent="0.25">
      <c r="A23" s="75" t="s">
        <v>46</v>
      </c>
      <c r="B23" s="37">
        <f>SUM(B5:B22)</f>
        <v>27516355</v>
      </c>
      <c r="C23" s="56"/>
      <c r="D23" s="37">
        <f>SUM(D5:D22)</f>
        <v>2635463</v>
      </c>
      <c r="E23" s="37"/>
      <c r="F23" s="37">
        <f>SUM(F5:F22)</f>
        <v>23574143</v>
      </c>
      <c r="G23" s="38">
        <f>SUM(G5:G22)</f>
        <v>26209606</v>
      </c>
      <c r="H23" s="837"/>
    </row>
    <row r="25" spans="1:8" x14ac:dyDescent="0.2">
      <c r="G25" s="33">
        <f>SUM(F11)</f>
        <v>8509200</v>
      </c>
    </row>
  </sheetData>
  <mergeCells count="2">
    <mergeCell ref="A1:G1"/>
    <mergeCell ref="H1:H23"/>
  </mergeCells>
  <phoneticPr fontId="0" type="noConversion"/>
  <printOptions horizontalCentered="1"/>
  <pageMargins left="0.61" right="0.52" top="1.02" bottom="0.98425196850393704" header="0.78740157480314965" footer="0.78740157480314965"/>
  <pageSetup paperSize="9" scale="9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E485-E682-422A-A08D-E3A86B495F31}">
  <sheetPr>
    <tabColor theme="5"/>
  </sheetPr>
  <dimension ref="A1:H26"/>
  <sheetViews>
    <sheetView zoomScale="120" zoomScaleNormal="120" workbookViewId="0">
      <selection activeCell="F7" sqref="F7"/>
    </sheetView>
  </sheetViews>
  <sheetFormatPr defaultRowHeight="12.75" x14ac:dyDescent="0.2"/>
  <cols>
    <col min="1" max="1" width="54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5.83203125" style="27" customWidth="1"/>
    <col min="7" max="7" width="18.83203125" style="27" customWidth="1"/>
    <col min="8" max="8" width="5.33203125" style="27" customWidth="1"/>
    <col min="9" max="9" width="12.83203125" style="27" customWidth="1"/>
    <col min="10" max="10" width="13.83203125" style="27" customWidth="1"/>
    <col min="11" max="16384" width="9.33203125" style="27"/>
  </cols>
  <sheetData>
    <row r="1" spans="1:8" ht="24.75" customHeight="1" x14ac:dyDescent="0.2">
      <c r="A1" s="836" t="s">
        <v>521</v>
      </c>
      <c r="B1" s="836"/>
      <c r="C1" s="836"/>
      <c r="D1" s="836"/>
      <c r="E1" s="836"/>
      <c r="F1" s="836"/>
      <c r="G1" s="836"/>
      <c r="H1" s="835" t="str">
        <f>CONCATENATE("4. melléklet ",Z_ALAPADATOK!$A$7," ",Z_ALAPADATOK!$B$7," ",Z_ALAPADATOK!$C$7," ",Z_ALAPADATOK!$D$7," ",Z_ALAPADATOK!$E$7," ",Z_ALAPADATOK!$F$7," ",Z_ALAPADATOK!$G$7," ",Z_ALAPADATOK!$H$7)</f>
        <v>4. melléklet a … / 2022. ( … ) önkormányzati rendelethez</v>
      </c>
    </row>
    <row r="2" spans="1:8" ht="23.25" customHeight="1" thickBot="1" x14ac:dyDescent="0.3">
      <c r="A2" s="343"/>
      <c r="B2" s="344"/>
      <c r="C2" s="344"/>
      <c r="D2" s="344"/>
      <c r="E2" s="344"/>
      <c r="F2" s="344"/>
      <c r="G2" s="345" t="str">
        <f>'Z_3.sz.mell.'!G2</f>
        <v xml:space="preserve"> Forintban!</v>
      </c>
      <c r="H2" s="835"/>
    </row>
    <row r="3" spans="1:8" s="29" customFormat="1" ht="48.75" customHeight="1" thickBot="1" x14ac:dyDescent="0.25">
      <c r="A3" s="346" t="s">
        <v>50</v>
      </c>
      <c r="B3" s="316" t="s">
        <v>48</v>
      </c>
      <c r="C3" s="316" t="s">
        <v>49</v>
      </c>
      <c r="D3" s="316" t="str">
        <f>+'Z_3.sz.mell.'!D3</f>
        <v>Felhasználás   2020. XII. 31-ig</v>
      </c>
      <c r="E3" s="316" t="str">
        <f>+CONCATENATE(LEFT(Z_ÖSSZEFÜGGÉSEK!A6,4),". évi",CHAR(10),"módosított előirányzat")</f>
        <v>2021. évi
módosított előirányzat</v>
      </c>
      <c r="F3" s="316" t="str">
        <f>+CONCATENATE("Teljesítés",CHAR(10),LEFT(Z_ÖSSZEFÜGGÉSEK!A6,4),". I. 1-től XII. 31-ig")</f>
        <v>Teljesítés
2021. I. 1-től XII. 31-ig</v>
      </c>
      <c r="G3" s="317" t="str">
        <f>+CONCATENATE("Összes teljesítés",CHAR(10),LEFT(Z_ÖSSZEFÜGGÉSEK!A6,4),". XII. 31-ig")</f>
        <v>Összes teljesítés
2021. XII. 31-ig</v>
      </c>
      <c r="H3" s="835"/>
    </row>
    <row r="4" spans="1:8" s="33" customFormat="1" ht="15.2" customHeight="1" thickBot="1" x14ac:dyDescent="0.25">
      <c r="A4" s="347" t="s">
        <v>385</v>
      </c>
      <c r="B4" s="348" t="s">
        <v>386</v>
      </c>
      <c r="C4" s="348" t="s">
        <v>387</v>
      </c>
      <c r="D4" s="348" t="s">
        <v>389</v>
      </c>
      <c r="E4" s="348" t="s">
        <v>388</v>
      </c>
      <c r="F4" s="348" t="s">
        <v>390</v>
      </c>
      <c r="G4" s="349" t="s">
        <v>443</v>
      </c>
      <c r="H4" s="835"/>
    </row>
    <row r="5" spans="1:8" ht="15.95" customHeight="1" x14ac:dyDescent="0.2">
      <c r="A5" s="40" t="s">
        <v>883</v>
      </c>
      <c r="B5" s="41">
        <v>169976625</v>
      </c>
      <c r="C5" s="230" t="s">
        <v>884</v>
      </c>
      <c r="D5" s="41">
        <v>2978150</v>
      </c>
      <c r="E5" s="41"/>
      <c r="F5" s="41">
        <v>121065668</v>
      </c>
      <c r="G5" s="42">
        <f>D5+F5</f>
        <v>124043818</v>
      </c>
      <c r="H5" s="835"/>
    </row>
    <row r="6" spans="1:8" ht="15.95" customHeight="1" x14ac:dyDescent="0.2">
      <c r="A6" s="40" t="s">
        <v>885</v>
      </c>
      <c r="B6" s="41">
        <v>3738785</v>
      </c>
      <c r="C6" s="230" t="s">
        <v>877</v>
      </c>
      <c r="D6" s="41">
        <v>1647042</v>
      </c>
      <c r="E6" s="41"/>
      <c r="F6" s="41">
        <v>2091743</v>
      </c>
      <c r="G6" s="42">
        <f t="shared" ref="G6:G23" si="0">D6+F6</f>
        <v>3738785</v>
      </c>
      <c r="H6" s="835"/>
    </row>
    <row r="7" spans="1:8" ht="24" x14ac:dyDescent="0.2">
      <c r="A7" s="40" t="s">
        <v>886</v>
      </c>
      <c r="B7" s="41">
        <v>30000000</v>
      </c>
      <c r="C7" s="230" t="s">
        <v>887</v>
      </c>
      <c r="D7" s="41"/>
      <c r="E7" s="41"/>
      <c r="F7" s="41">
        <v>571500</v>
      </c>
      <c r="G7" s="42">
        <f t="shared" si="0"/>
        <v>571500</v>
      </c>
      <c r="H7" s="835"/>
    </row>
    <row r="8" spans="1:8" x14ac:dyDescent="0.2">
      <c r="A8" s="804" t="s">
        <v>888</v>
      </c>
      <c r="B8" s="41">
        <v>2336800</v>
      </c>
      <c r="C8" s="230" t="s">
        <v>877</v>
      </c>
      <c r="D8" s="41"/>
      <c r="E8" s="41"/>
      <c r="F8" s="41">
        <v>2336800</v>
      </c>
      <c r="G8" s="42">
        <f t="shared" si="0"/>
        <v>2336800</v>
      </c>
      <c r="H8" s="835"/>
    </row>
    <row r="9" spans="1:8" ht="15.95" customHeight="1" x14ac:dyDescent="0.2">
      <c r="A9" s="40"/>
      <c r="B9" s="41"/>
      <c r="C9" s="230"/>
      <c r="D9" s="41"/>
      <c r="E9" s="41"/>
      <c r="F9" s="41"/>
      <c r="G9" s="42">
        <f t="shared" si="0"/>
        <v>0</v>
      </c>
      <c r="H9" s="835"/>
    </row>
    <row r="10" spans="1:8" ht="15.95" customHeight="1" x14ac:dyDescent="0.2">
      <c r="A10" s="40"/>
      <c r="B10" s="41"/>
      <c r="C10" s="230"/>
      <c r="D10" s="41"/>
      <c r="E10" s="41"/>
      <c r="F10" s="41"/>
      <c r="G10" s="42">
        <f t="shared" si="0"/>
        <v>0</v>
      </c>
      <c r="H10" s="835"/>
    </row>
    <row r="11" spans="1:8" ht="15.95" customHeight="1" x14ac:dyDescent="0.2">
      <c r="A11" s="40"/>
      <c r="B11" s="41"/>
      <c r="C11" s="230"/>
      <c r="D11" s="41"/>
      <c r="E11" s="41"/>
      <c r="F11" s="41"/>
      <c r="G11" s="42">
        <f t="shared" si="0"/>
        <v>0</v>
      </c>
      <c r="H11" s="835"/>
    </row>
    <row r="12" spans="1:8" ht="15.95" customHeight="1" x14ac:dyDescent="0.2">
      <c r="A12" s="40"/>
      <c r="B12" s="41"/>
      <c r="C12" s="230"/>
      <c r="D12" s="41"/>
      <c r="E12" s="41"/>
      <c r="F12" s="41"/>
      <c r="G12" s="42">
        <f t="shared" si="0"/>
        <v>0</v>
      </c>
      <c r="H12" s="835"/>
    </row>
    <row r="13" spans="1:8" ht="15.95" customHeight="1" x14ac:dyDescent="0.2">
      <c r="A13" s="40"/>
      <c r="B13" s="41"/>
      <c r="C13" s="230"/>
      <c r="D13" s="41"/>
      <c r="E13" s="41"/>
      <c r="F13" s="41"/>
      <c r="G13" s="42">
        <f t="shared" si="0"/>
        <v>0</v>
      </c>
      <c r="H13" s="835"/>
    </row>
    <row r="14" spans="1:8" ht="15.95" customHeight="1" x14ac:dyDescent="0.2">
      <c r="A14" s="40"/>
      <c r="B14" s="41"/>
      <c r="C14" s="230"/>
      <c r="D14" s="41"/>
      <c r="E14" s="41"/>
      <c r="F14" s="41"/>
      <c r="G14" s="42">
        <f t="shared" si="0"/>
        <v>0</v>
      </c>
      <c r="H14" s="835"/>
    </row>
    <row r="15" spans="1:8" ht="15.95" customHeight="1" x14ac:dyDescent="0.2">
      <c r="A15" s="40"/>
      <c r="B15" s="41"/>
      <c r="C15" s="230"/>
      <c r="D15" s="41"/>
      <c r="E15" s="41"/>
      <c r="F15" s="41"/>
      <c r="G15" s="42">
        <f t="shared" si="0"/>
        <v>0</v>
      </c>
      <c r="H15" s="835"/>
    </row>
    <row r="16" spans="1:8" ht="15.95" customHeight="1" x14ac:dyDescent="0.2">
      <c r="A16" s="40"/>
      <c r="B16" s="41"/>
      <c r="C16" s="230"/>
      <c r="D16" s="41"/>
      <c r="E16" s="41"/>
      <c r="F16" s="41"/>
      <c r="G16" s="42">
        <f t="shared" si="0"/>
        <v>0</v>
      </c>
      <c r="H16" s="835"/>
    </row>
    <row r="17" spans="1:8" ht="15.95" customHeight="1" x14ac:dyDescent="0.2">
      <c r="A17" s="40"/>
      <c r="B17" s="41"/>
      <c r="C17" s="230"/>
      <c r="D17" s="41"/>
      <c r="E17" s="41"/>
      <c r="F17" s="41"/>
      <c r="G17" s="42">
        <f t="shared" si="0"/>
        <v>0</v>
      </c>
      <c r="H17" s="835"/>
    </row>
    <row r="18" spans="1:8" ht="15.95" customHeight="1" x14ac:dyDescent="0.2">
      <c r="A18" s="40"/>
      <c r="B18" s="41"/>
      <c r="C18" s="230"/>
      <c r="D18" s="41"/>
      <c r="E18" s="41"/>
      <c r="F18" s="41"/>
      <c r="G18" s="42">
        <f t="shared" si="0"/>
        <v>0</v>
      </c>
      <c r="H18" s="835"/>
    </row>
    <row r="19" spans="1:8" ht="15.95" customHeight="1" x14ac:dyDescent="0.2">
      <c r="A19" s="40"/>
      <c r="B19" s="41"/>
      <c r="C19" s="230"/>
      <c r="D19" s="41"/>
      <c r="E19" s="41"/>
      <c r="F19" s="41"/>
      <c r="G19" s="42">
        <f t="shared" si="0"/>
        <v>0</v>
      </c>
      <c r="H19" s="835"/>
    </row>
    <row r="20" spans="1:8" ht="15.95" customHeight="1" x14ac:dyDescent="0.2">
      <c r="A20" s="40"/>
      <c r="B20" s="41"/>
      <c r="C20" s="230"/>
      <c r="D20" s="41"/>
      <c r="E20" s="41"/>
      <c r="F20" s="41"/>
      <c r="G20" s="42">
        <f t="shared" si="0"/>
        <v>0</v>
      </c>
      <c r="H20" s="835"/>
    </row>
    <row r="21" spans="1:8" ht="15.95" customHeight="1" x14ac:dyDescent="0.2">
      <c r="A21" s="40"/>
      <c r="B21" s="41"/>
      <c r="C21" s="230"/>
      <c r="D21" s="41"/>
      <c r="E21" s="41"/>
      <c r="F21" s="41"/>
      <c r="G21" s="42">
        <f t="shared" si="0"/>
        <v>0</v>
      </c>
      <c r="H21" s="835"/>
    </row>
    <row r="22" spans="1:8" ht="15.95" customHeight="1" x14ac:dyDescent="0.2">
      <c r="A22" s="40"/>
      <c r="B22" s="41"/>
      <c r="C22" s="230"/>
      <c r="D22" s="41"/>
      <c r="E22" s="41"/>
      <c r="F22" s="41"/>
      <c r="G22" s="42">
        <f t="shared" si="0"/>
        <v>0</v>
      </c>
      <c r="H22" s="835"/>
    </row>
    <row r="23" spans="1:8" ht="15.95" customHeight="1" thickBot="1" x14ac:dyDescent="0.25">
      <c r="A23" s="43"/>
      <c r="B23" s="44"/>
      <c r="C23" s="231"/>
      <c r="D23" s="44"/>
      <c r="E23" s="44"/>
      <c r="F23" s="44"/>
      <c r="G23" s="45">
        <f t="shared" si="0"/>
        <v>0</v>
      </c>
      <c r="H23" s="835"/>
    </row>
    <row r="24" spans="1:8" s="39" customFormat="1" ht="18" customHeight="1" thickBot="1" x14ac:dyDescent="0.25">
      <c r="A24" s="75" t="s">
        <v>46</v>
      </c>
      <c r="B24" s="76">
        <f>SUM(B5:B23)</f>
        <v>206052210</v>
      </c>
      <c r="C24" s="57"/>
      <c r="D24" s="76">
        <f>SUM(D5:D23)</f>
        <v>4625192</v>
      </c>
      <c r="E24" s="76"/>
      <c r="F24" s="76">
        <f>SUM(F5:F23)</f>
        <v>126065711</v>
      </c>
      <c r="G24" s="46">
        <f>SUM(G5:G23)</f>
        <v>130690903</v>
      </c>
      <c r="H24" s="835"/>
    </row>
    <row r="26" spans="1:8" x14ac:dyDescent="0.2">
      <c r="G26" s="27">
        <f>SUM(F5,F7)</f>
        <v>121637168</v>
      </c>
    </row>
  </sheetData>
  <mergeCells count="2">
    <mergeCell ref="A1:G1"/>
    <mergeCell ref="H1:H24"/>
  </mergeCells>
  <phoneticPr fontId="0" type="noConversion"/>
  <printOptions horizontalCentered="1"/>
  <pageMargins left="0.65" right="0.78740157480314965" top="1.2369791666666667" bottom="0.98425196850393704" header="0.78740157480314965" footer="0.78740157480314965"/>
  <pageSetup paperSize="9" scale="90" orientation="landscape" horizontalDpi="300" verticalDpi="300" r:id="rId1"/>
  <headerFooter alignWithMargins="0">
    <oddHeader xml:space="preserve">&amp;R
  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3B028-8E5E-461C-A8F9-AFECDA20EB47}">
  <sheetPr>
    <tabColor theme="5"/>
  </sheetPr>
  <dimension ref="A1:I52"/>
  <sheetViews>
    <sheetView view="pageBreakPreview" zoomScaleNormal="110" zoomScaleSheetLayoutView="100" workbookViewId="0">
      <selection activeCell="D21" sqref="D21"/>
    </sheetView>
  </sheetViews>
  <sheetFormatPr defaultRowHeight="12.75" x14ac:dyDescent="0.2"/>
  <cols>
    <col min="1" max="1" width="28.5" customWidth="1"/>
    <col min="2" max="4" width="13.83203125" customWidth="1"/>
    <col min="5" max="5" width="12.83203125" customWidth="1"/>
    <col min="6" max="7" width="13.83203125" customWidth="1"/>
    <col min="8" max="8" width="12.83203125" customWidth="1"/>
    <col min="9" max="9" width="13.83203125" customWidth="1"/>
    <col min="10" max="10" width="11.33203125" customWidth="1"/>
    <col min="11" max="11" width="4" customWidth="1"/>
  </cols>
  <sheetData>
    <row r="1" spans="1:9" ht="15" customHeight="1" x14ac:dyDescent="0.2">
      <c r="A1" s="859" t="s">
        <v>944</v>
      </c>
      <c r="B1" s="859"/>
      <c r="C1" s="859"/>
      <c r="D1" s="859"/>
      <c r="E1" s="859"/>
      <c r="F1" s="859"/>
      <c r="G1" s="859"/>
      <c r="H1" s="859"/>
      <c r="I1" s="859"/>
    </row>
    <row r="2" spans="1:9" x14ac:dyDescent="0.2">
      <c r="A2" s="675"/>
      <c r="B2" s="675"/>
      <c r="C2" s="675"/>
      <c r="D2" s="675"/>
      <c r="E2" s="675"/>
      <c r="F2" s="675"/>
      <c r="G2" s="676"/>
      <c r="H2" s="676"/>
      <c r="I2" s="676"/>
    </row>
    <row r="3" spans="1:9" ht="15.75" x14ac:dyDescent="0.2">
      <c r="A3" s="860" t="s">
        <v>522</v>
      </c>
      <c r="B3" s="860"/>
      <c r="C3" s="860"/>
      <c r="D3" s="860"/>
      <c r="E3" s="860"/>
      <c r="F3" s="860"/>
      <c r="G3" s="860"/>
      <c r="H3" s="860"/>
      <c r="I3" s="860"/>
    </row>
    <row r="4" spans="1:9" ht="15.75" x14ac:dyDescent="0.2">
      <c r="A4" s="861" t="s">
        <v>855</v>
      </c>
      <c r="B4" s="860"/>
      <c r="C4" s="860"/>
      <c r="D4" s="860"/>
      <c r="E4" s="860"/>
      <c r="F4" s="860"/>
      <c r="G4" s="860"/>
      <c r="H4" s="860"/>
      <c r="I4" s="860"/>
    </row>
    <row r="5" spans="1:9" ht="15.75" x14ac:dyDescent="0.2">
      <c r="A5" s="656"/>
      <c r="B5" s="655"/>
      <c r="C5" s="655"/>
      <c r="D5" s="655"/>
      <c r="E5" s="655"/>
      <c r="F5" s="655"/>
      <c r="G5" s="655"/>
      <c r="H5" s="655"/>
      <c r="I5" s="655"/>
    </row>
    <row r="6" spans="1:9" ht="39" customHeight="1" x14ac:dyDescent="0.2">
      <c r="A6" s="856" t="s">
        <v>857</v>
      </c>
      <c r="B6" s="856"/>
      <c r="C6" s="857" t="s">
        <v>941</v>
      </c>
      <c r="D6" s="857"/>
      <c r="E6" s="857"/>
      <c r="F6" s="857"/>
      <c r="G6" s="857"/>
      <c r="H6" s="857"/>
      <c r="I6" s="857"/>
    </row>
    <row r="7" spans="1:9" ht="15.75" thickBot="1" x14ac:dyDescent="0.25">
      <c r="A7" s="657"/>
      <c r="B7" s="657"/>
      <c r="C7" s="657"/>
      <c r="D7" s="657"/>
      <c r="E7" s="657"/>
      <c r="F7" s="657"/>
      <c r="G7" s="657"/>
      <c r="H7" s="858" t="s">
        <v>843</v>
      </c>
      <c r="I7" s="858"/>
    </row>
    <row r="8" spans="1:9" ht="13.5" customHeight="1" thickBot="1" x14ac:dyDescent="0.25">
      <c r="A8" s="838" t="s">
        <v>83</v>
      </c>
      <c r="B8" s="841" t="s">
        <v>444</v>
      </c>
      <c r="C8" s="842"/>
      <c r="D8" s="842"/>
      <c r="E8" s="842"/>
      <c r="F8" s="842"/>
      <c r="G8" s="842"/>
      <c r="H8" s="842"/>
      <c r="I8" s="843"/>
    </row>
    <row r="9" spans="1:9" ht="13.5" customHeight="1" thickBot="1" x14ac:dyDescent="0.25">
      <c r="A9" s="839"/>
      <c r="B9" s="844" t="s">
        <v>861</v>
      </c>
      <c r="C9" s="847" t="s">
        <v>856</v>
      </c>
      <c r="D9" s="848"/>
      <c r="E9" s="848"/>
      <c r="F9" s="848"/>
      <c r="G9" s="848"/>
      <c r="H9" s="848"/>
      <c r="I9" s="849"/>
    </row>
    <row r="10" spans="1:9" ht="48.75" thickBot="1" x14ac:dyDescent="0.25">
      <c r="A10" s="839"/>
      <c r="B10" s="845"/>
      <c r="C10" s="850" t="str">
        <f>CONCATENATE(Z_TARTALOMJEGYZÉK!$A$1,".  előtti forrás, kiadás")</f>
        <v>2021.  előtti forrás, kiadás</v>
      </c>
      <c r="D10" s="658" t="s">
        <v>446</v>
      </c>
      <c r="E10" s="658" t="s">
        <v>447</v>
      </c>
      <c r="F10" s="659" t="str">
        <f>CONCATENATE("Összes teljesítés ",Z_TARTALOMJEGYZÉK!$A$1,". XII.31 -ig")</f>
        <v>Összes teljesítés 2021. XII.31 -ig</v>
      </c>
      <c r="G10" s="659" t="s">
        <v>446</v>
      </c>
      <c r="H10" s="659" t="s">
        <v>447</v>
      </c>
      <c r="I10" s="659" t="str">
        <f>CONCATENATE("Összes teljesítés ",Z_TARTALOMJEGYZÉK!$A$1,". XII.31 -ig")</f>
        <v>Összes teljesítés 2021. XII.31 -ig</v>
      </c>
    </row>
    <row r="11" spans="1:9" ht="11.25" customHeight="1" thickBot="1" x14ac:dyDescent="0.25">
      <c r="A11" s="840"/>
      <c r="B11" s="846"/>
      <c r="C11" s="851"/>
      <c r="D11" s="852" t="str">
        <f>CONCATENATE(Z_TARTALOMJEGYZÉK!$A$1,". évi")</f>
        <v>2021. évi</v>
      </c>
      <c r="E11" s="853"/>
      <c r="F11" s="854"/>
      <c r="G11" s="852" t="str">
        <f>CONCATENATE(Z_TARTALOMJEGYZÉK!$A$1,". után")</f>
        <v>2021. után</v>
      </c>
      <c r="H11" s="853"/>
      <c r="I11" s="854"/>
    </row>
    <row r="12" spans="1:9" ht="13.5" thickBot="1" x14ac:dyDescent="0.25">
      <c r="A12" s="660" t="s">
        <v>385</v>
      </c>
      <c r="B12" s="661" t="s">
        <v>860</v>
      </c>
      <c r="C12" s="662" t="s">
        <v>387</v>
      </c>
      <c r="D12" s="663" t="s">
        <v>389</v>
      </c>
      <c r="E12" s="663" t="s">
        <v>388</v>
      </c>
      <c r="F12" s="662" t="s">
        <v>390</v>
      </c>
      <c r="G12" s="662" t="s">
        <v>391</v>
      </c>
      <c r="H12" s="662" t="s">
        <v>392</v>
      </c>
      <c r="I12" s="664" t="s">
        <v>859</v>
      </c>
    </row>
    <row r="13" spans="1:9" x14ac:dyDescent="0.2">
      <c r="A13" s="665" t="s">
        <v>84</v>
      </c>
      <c r="B13" s="691">
        <f t="shared" ref="B13:B18" si="0">C13+E13+H13</f>
        <v>10124323</v>
      </c>
      <c r="C13" s="677">
        <v>10124323</v>
      </c>
      <c r="D13" s="677"/>
      <c r="E13" s="678"/>
      <c r="F13" s="688"/>
      <c r="G13" s="678"/>
      <c r="H13" s="679"/>
      <c r="I13" s="680">
        <f t="shared" ref="I13:I18" si="1">C13+F13</f>
        <v>10124323</v>
      </c>
    </row>
    <row r="14" spans="1:9" x14ac:dyDescent="0.2">
      <c r="A14" s="666" t="s">
        <v>94</v>
      </c>
      <c r="B14" s="692">
        <f t="shared" si="0"/>
        <v>0</v>
      </c>
      <c r="C14" s="681"/>
      <c r="D14" s="681"/>
      <c r="E14" s="682"/>
      <c r="F14" s="689"/>
      <c r="G14" s="681"/>
      <c r="H14" s="682"/>
      <c r="I14" s="683">
        <f t="shared" si="1"/>
        <v>0</v>
      </c>
    </row>
    <row r="15" spans="1:9" x14ac:dyDescent="0.2">
      <c r="A15" s="667" t="s">
        <v>85</v>
      </c>
      <c r="B15" s="682">
        <f t="shared" si="0"/>
        <v>173389594</v>
      </c>
      <c r="C15" s="682">
        <v>165714104</v>
      </c>
      <c r="D15" s="682"/>
      <c r="E15" s="682">
        <v>7675490</v>
      </c>
      <c r="F15" s="690">
        <v>7675490</v>
      </c>
      <c r="G15" s="682"/>
      <c r="H15" s="682"/>
      <c r="I15" s="683">
        <f t="shared" si="1"/>
        <v>173389594</v>
      </c>
    </row>
    <row r="16" spans="1:9" x14ac:dyDescent="0.2">
      <c r="A16" s="667" t="s">
        <v>95</v>
      </c>
      <c r="B16" s="693">
        <f t="shared" si="0"/>
        <v>0</v>
      </c>
      <c r="C16" s="682"/>
      <c r="D16" s="682"/>
      <c r="E16" s="682"/>
      <c r="F16" s="690"/>
      <c r="G16" s="682"/>
      <c r="H16" s="682"/>
      <c r="I16" s="683">
        <f t="shared" si="1"/>
        <v>0</v>
      </c>
    </row>
    <row r="17" spans="1:9" x14ac:dyDescent="0.2">
      <c r="A17" s="667" t="s">
        <v>86</v>
      </c>
      <c r="B17" s="693">
        <f t="shared" si="0"/>
        <v>0</v>
      </c>
      <c r="C17" s="682"/>
      <c r="D17" s="682"/>
      <c r="E17" s="682"/>
      <c r="F17" s="690"/>
      <c r="G17" s="682"/>
      <c r="H17" s="682"/>
      <c r="I17" s="683">
        <f t="shared" si="1"/>
        <v>0</v>
      </c>
    </row>
    <row r="18" spans="1:9" ht="13.5" thickBot="1" x14ac:dyDescent="0.25">
      <c r="A18" s="667" t="s">
        <v>87</v>
      </c>
      <c r="B18" s="693">
        <f t="shared" si="0"/>
        <v>0</v>
      </c>
      <c r="C18" s="682"/>
      <c r="D18" s="682"/>
      <c r="E18" s="682"/>
      <c r="F18" s="690"/>
      <c r="G18" s="682"/>
      <c r="H18" s="682"/>
      <c r="I18" s="683">
        <f t="shared" si="1"/>
        <v>0</v>
      </c>
    </row>
    <row r="19" spans="1:9" ht="13.5" thickBot="1" x14ac:dyDescent="0.25">
      <c r="A19" s="668" t="s">
        <v>88</v>
      </c>
      <c r="B19" s="694">
        <f t="shared" ref="B19:I19" si="2">B13+SUM(B15:B18)</f>
        <v>183513917</v>
      </c>
      <c r="C19" s="684">
        <f t="shared" si="2"/>
        <v>175838427</v>
      </c>
      <c r="D19" s="684">
        <f t="shared" si="2"/>
        <v>0</v>
      </c>
      <c r="E19" s="684">
        <f t="shared" si="2"/>
        <v>7675490</v>
      </c>
      <c r="F19" s="684">
        <f t="shared" si="2"/>
        <v>7675490</v>
      </c>
      <c r="G19" s="684">
        <f t="shared" si="2"/>
        <v>0</v>
      </c>
      <c r="H19" s="684">
        <f t="shared" si="2"/>
        <v>0</v>
      </c>
      <c r="I19" s="685">
        <f t="shared" si="2"/>
        <v>183513917</v>
      </c>
    </row>
    <row r="20" spans="1:9" x14ac:dyDescent="0.2">
      <c r="A20" s="669" t="s">
        <v>90</v>
      </c>
      <c r="B20" s="691">
        <f>C20+E20+H20</f>
        <v>0</v>
      </c>
      <c r="C20" s="693"/>
      <c r="D20" s="678"/>
      <c r="E20" s="678"/>
      <c r="F20" s="678"/>
      <c r="G20" s="678"/>
      <c r="H20" s="678"/>
      <c r="I20" s="680">
        <f>C20+F20</f>
        <v>0</v>
      </c>
    </row>
    <row r="21" spans="1:9" x14ac:dyDescent="0.2">
      <c r="A21" s="670" t="s">
        <v>91</v>
      </c>
      <c r="B21" s="693">
        <f>C21+E21+H21</f>
        <v>144248566</v>
      </c>
      <c r="C21" s="682">
        <v>135739366</v>
      </c>
      <c r="D21" s="682"/>
      <c r="E21" s="682">
        <v>8509200</v>
      </c>
      <c r="F21" s="682">
        <v>8509200</v>
      </c>
      <c r="G21" s="682"/>
      <c r="H21" s="682"/>
      <c r="I21" s="683">
        <f>C21+F21</f>
        <v>144248566</v>
      </c>
    </row>
    <row r="22" spans="1:9" x14ac:dyDescent="0.2">
      <c r="A22" s="670" t="s">
        <v>92</v>
      </c>
      <c r="B22" s="693">
        <f>C22+E22+H22</f>
        <v>1751000</v>
      </c>
      <c r="C22" s="682">
        <v>1751000</v>
      </c>
      <c r="D22" s="682"/>
      <c r="E22" s="682"/>
      <c r="F22" s="682"/>
      <c r="G22" s="682"/>
      <c r="H22" s="682"/>
      <c r="I22" s="683">
        <f>C22+F22</f>
        <v>1751000</v>
      </c>
    </row>
    <row r="23" spans="1:9" x14ac:dyDescent="0.2">
      <c r="A23" s="670" t="s">
        <v>93</v>
      </c>
      <c r="B23" s="693">
        <f>C23+E23+H23</f>
        <v>0</v>
      </c>
      <c r="C23" s="693">
        <v>0</v>
      </c>
      <c r="D23" s="682"/>
      <c r="E23" s="682"/>
      <c r="F23" s="682"/>
      <c r="G23" s="682"/>
      <c r="H23" s="682"/>
      <c r="I23" s="683">
        <f>C23+F23</f>
        <v>0</v>
      </c>
    </row>
    <row r="24" spans="1:9" ht="13.5" thickBot="1" x14ac:dyDescent="0.25">
      <c r="A24" s="671" t="s">
        <v>942</v>
      </c>
      <c r="B24" s="695">
        <f>C24+E24+H24</f>
        <v>31994841</v>
      </c>
      <c r="C24" s="686">
        <v>31994841</v>
      </c>
      <c r="D24" s="686"/>
      <c r="E24" s="682"/>
      <c r="F24" s="686"/>
      <c r="G24" s="686"/>
      <c r="H24" s="682"/>
      <c r="I24" s="687">
        <f>C24+F24</f>
        <v>31994841</v>
      </c>
    </row>
    <row r="25" spans="1:9" ht="13.5" thickBot="1" x14ac:dyDescent="0.25">
      <c r="A25" s="672" t="s">
        <v>74</v>
      </c>
      <c r="B25" s="694">
        <f t="shared" ref="B25:I25" si="3">SUM(B20:B24)</f>
        <v>177994407</v>
      </c>
      <c r="C25" s="684">
        <f t="shared" si="3"/>
        <v>169485207</v>
      </c>
      <c r="D25" s="684">
        <f t="shared" si="3"/>
        <v>0</v>
      </c>
      <c r="E25" s="684">
        <f t="shared" si="3"/>
        <v>8509200</v>
      </c>
      <c r="F25" s="684">
        <f t="shared" si="3"/>
        <v>8509200</v>
      </c>
      <c r="G25" s="684">
        <f t="shared" si="3"/>
        <v>0</v>
      </c>
      <c r="H25" s="684">
        <f t="shared" si="3"/>
        <v>0</v>
      </c>
      <c r="I25" s="685">
        <f t="shared" si="3"/>
        <v>177994407</v>
      </c>
    </row>
    <row r="26" spans="1:9" ht="12.75" customHeight="1" x14ac:dyDescent="0.2">
      <c r="A26" s="855"/>
      <c r="B26" s="855"/>
      <c r="C26" s="855"/>
      <c r="D26" s="855"/>
      <c r="E26" s="855"/>
      <c r="F26" s="855"/>
      <c r="G26" s="855"/>
      <c r="H26" s="855"/>
      <c r="I26" s="855"/>
    </row>
    <row r="27" spans="1:9" ht="12.75" customHeight="1" x14ac:dyDescent="0.2">
      <c r="A27" s="803"/>
      <c r="B27" s="803"/>
      <c r="C27" s="803"/>
      <c r="D27" s="803"/>
      <c r="E27" s="803"/>
      <c r="F27" s="803"/>
      <c r="G27" s="803"/>
      <c r="H27" s="803"/>
      <c r="I27" s="803"/>
    </row>
    <row r="28" spans="1:9" ht="12.75" customHeight="1" x14ac:dyDescent="0.2">
      <c r="A28" s="803"/>
      <c r="B28" s="803"/>
      <c r="C28" s="803"/>
      <c r="D28" s="803"/>
      <c r="E28" s="803"/>
      <c r="F28" s="803"/>
      <c r="G28" s="803"/>
      <c r="H28" s="803"/>
      <c r="I28" s="803"/>
    </row>
    <row r="29" spans="1:9" x14ac:dyDescent="0.2">
      <c r="A29" s="673"/>
      <c r="B29" s="673"/>
      <c r="C29" s="673"/>
      <c r="D29" s="673"/>
      <c r="E29" s="673"/>
      <c r="F29" s="673"/>
      <c r="G29" s="673"/>
      <c r="H29" s="673"/>
      <c r="I29" s="673"/>
    </row>
    <row r="30" spans="1:9" ht="39" customHeight="1" x14ac:dyDescent="0.2">
      <c r="A30" s="856" t="s">
        <v>857</v>
      </c>
      <c r="B30" s="856"/>
      <c r="C30" s="857" t="s">
        <v>883</v>
      </c>
      <c r="D30" s="857"/>
      <c r="E30" s="857"/>
      <c r="F30" s="857"/>
      <c r="G30" s="857"/>
      <c r="H30" s="857"/>
      <c r="I30" s="857"/>
    </row>
    <row r="31" spans="1:9" ht="15.75" thickBot="1" x14ac:dyDescent="0.25">
      <c r="A31" s="657"/>
      <c r="B31" s="657"/>
      <c r="C31" s="657"/>
      <c r="D31" s="657"/>
      <c r="E31" s="657"/>
      <c r="F31" s="657"/>
      <c r="G31" s="657"/>
      <c r="H31" s="858" t="s">
        <v>843</v>
      </c>
      <c r="I31" s="858"/>
    </row>
    <row r="32" spans="1:9" ht="13.5" customHeight="1" thickBot="1" x14ac:dyDescent="0.25">
      <c r="A32" s="838" t="s">
        <v>83</v>
      </c>
      <c r="B32" s="841" t="s">
        <v>444</v>
      </c>
      <c r="C32" s="842"/>
      <c r="D32" s="842"/>
      <c r="E32" s="842"/>
      <c r="F32" s="842"/>
      <c r="G32" s="842"/>
      <c r="H32" s="842"/>
      <c r="I32" s="843"/>
    </row>
    <row r="33" spans="1:9" ht="13.5" customHeight="1" thickBot="1" x14ac:dyDescent="0.25">
      <c r="A33" s="839"/>
      <c r="B33" s="844" t="str">
        <f>B9</f>
        <v>Módosítás utáni összes forrás, kiadás</v>
      </c>
      <c r="C33" s="847" t="s">
        <v>856</v>
      </c>
      <c r="D33" s="848"/>
      <c r="E33" s="848"/>
      <c r="F33" s="848"/>
      <c r="G33" s="848"/>
      <c r="H33" s="848"/>
      <c r="I33" s="849"/>
    </row>
    <row r="34" spans="1:9" ht="48.75" thickBot="1" x14ac:dyDescent="0.25">
      <c r="A34" s="839"/>
      <c r="B34" s="845"/>
      <c r="C34" s="850" t="str">
        <f>CONCATENATE(Z_TARTALOMJEGYZÉK!$A$1,".  előtti forrás, kiadás")</f>
        <v>2021.  előtti forrás, kiadás</v>
      </c>
      <c r="D34" s="658" t="s">
        <v>446</v>
      </c>
      <c r="E34" s="658" t="s">
        <v>447</v>
      </c>
      <c r="F34" s="659" t="str">
        <f>CONCATENATE("Összes teljesítés ",Z_TARTALOMJEGYZÉK!$A$1,". XII.31 -ig")</f>
        <v>Összes teljesítés 2021. XII.31 -ig</v>
      </c>
      <c r="G34" s="659" t="s">
        <v>446</v>
      </c>
      <c r="H34" s="659" t="s">
        <v>447</v>
      </c>
      <c r="I34" s="659" t="str">
        <f>CONCATENATE("Összes teljesítés ",Z_TARTALOMJEGYZÉK!$A$1,". XII.31 -ig")</f>
        <v>Összes teljesítés 2021. XII.31 -ig</v>
      </c>
    </row>
    <row r="35" spans="1:9" ht="13.5" thickBot="1" x14ac:dyDescent="0.25">
      <c r="A35" s="840"/>
      <c r="B35" s="846"/>
      <c r="C35" s="851"/>
      <c r="D35" s="852" t="str">
        <f>CONCATENATE(Z_TARTALOMJEGYZÉK!$A$1,". évi")</f>
        <v>2021. évi</v>
      </c>
      <c r="E35" s="853"/>
      <c r="F35" s="854"/>
      <c r="G35" s="852" t="str">
        <f>CONCATENATE(Z_TARTALOMJEGYZÉK!$A$1,". után")</f>
        <v>2021. után</v>
      </c>
      <c r="H35" s="853"/>
      <c r="I35" s="854"/>
    </row>
    <row r="36" spans="1:9" ht="13.5" thickBot="1" x14ac:dyDescent="0.25">
      <c r="A36" s="660" t="s">
        <v>385</v>
      </c>
      <c r="B36" s="661" t="s">
        <v>860</v>
      </c>
      <c r="C36" s="662" t="s">
        <v>387</v>
      </c>
      <c r="D36" s="663" t="s">
        <v>389</v>
      </c>
      <c r="E36" s="663" t="s">
        <v>388</v>
      </c>
      <c r="F36" s="662" t="s">
        <v>390</v>
      </c>
      <c r="G36" s="662" t="s">
        <v>391</v>
      </c>
      <c r="H36" s="662" t="s">
        <v>392</v>
      </c>
      <c r="I36" s="664" t="s">
        <v>859</v>
      </c>
    </row>
    <row r="37" spans="1:9" x14ac:dyDescent="0.2">
      <c r="A37" s="665" t="s">
        <v>84</v>
      </c>
      <c r="B37" s="682">
        <f t="shared" ref="B37:B42" si="4">C37+E37+H37</f>
        <v>0</v>
      </c>
      <c r="C37" s="682"/>
      <c r="D37" s="682"/>
      <c r="E37" s="682"/>
      <c r="F37" s="688"/>
      <c r="G37" s="682"/>
      <c r="H37" s="682"/>
      <c r="I37" s="680">
        <f t="shared" ref="I37:I42" si="5">C37+F37</f>
        <v>0</v>
      </c>
    </row>
    <row r="38" spans="1:9" x14ac:dyDescent="0.2">
      <c r="A38" s="666" t="s">
        <v>94</v>
      </c>
      <c r="B38" s="682">
        <f t="shared" si="4"/>
        <v>0</v>
      </c>
      <c r="C38" s="682"/>
      <c r="D38" s="682"/>
      <c r="E38" s="682"/>
      <c r="F38" s="689"/>
      <c r="G38" s="682"/>
      <c r="H38" s="682"/>
      <c r="I38" s="683">
        <f t="shared" si="5"/>
        <v>0</v>
      </c>
    </row>
    <row r="39" spans="1:9" x14ac:dyDescent="0.2">
      <c r="A39" s="667" t="s">
        <v>85</v>
      </c>
      <c r="B39" s="682">
        <f t="shared" si="4"/>
        <v>169976625</v>
      </c>
      <c r="C39" s="682">
        <v>117478820</v>
      </c>
      <c r="D39" s="682"/>
      <c r="E39" s="682">
        <f>D39+52497805</f>
        <v>52497805</v>
      </c>
      <c r="F39" s="690">
        <f>E39</f>
        <v>52497805</v>
      </c>
      <c r="G39" s="682"/>
      <c r="H39" s="682"/>
      <c r="I39" s="683">
        <f>C39+F39</f>
        <v>169976625</v>
      </c>
    </row>
    <row r="40" spans="1:9" x14ac:dyDescent="0.2">
      <c r="A40" s="667" t="s">
        <v>95</v>
      </c>
      <c r="B40" s="682">
        <f t="shared" si="4"/>
        <v>0</v>
      </c>
      <c r="C40" s="682"/>
      <c r="D40" s="682"/>
      <c r="E40" s="682"/>
      <c r="F40" s="690"/>
      <c r="G40" s="682"/>
      <c r="H40" s="682"/>
      <c r="I40" s="683">
        <f t="shared" si="5"/>
        <v>0</v>
      </c>
    </row>
    <row r="41" spans="1:9" x14ac:dyDescent="0.2">
      <c r="A41" s="667" t="s">
        <v>86</v>
      </c>
      <c r="B41" s="682">
        <f t="shared" si="4"/>
        <v>0</v>
      </c>
      <c r="C41" s="682"/>
      <c r="D41" s="682"/>
      <c r="E41" s="682"/>
      <c r="F41" s="690"/>
      <c r="G41" s="682"/>
      <c r="H41" s="682"/>
      <c r="I41" s="683">
        <f t="shared" si="5"/>
        <v>0</v>
      </c>
    </row>
    <row r="42" spans="1:9" ht="13.5" thickBot="1" x14ac:dyDescent="0.25">
      <c r="A42" s="667" t="s">
        <v>87</v>
      </c>
      <c r="B42" s="682">
        <f t="shared" si="4"/>
        <v>0</v>
      </c>
      <c r="C42" s="682"/>
      <c r="D42" s="682"/>
      <c r="E42" s="682"/>
      <c r="F42" s="690"/>
      <c r="G42" s="682"/>
      <c r="H42" s="682"/>
      <c r="I42" s="683">
        <f t="shared" si="5"/>
        <v>0</v>
      </c>
    </row>
    <row r="43" spans="1:9" ht="13.5" thickBot="1" x14ac:dyDescent="0.25">
      <c r="A43" s="668" t="s">
        <v>88</v>
      </c>
      <c r="B43" s="694">
        <f t="shared" ref="B43:I43" si="6">B37+SUM(B39:B42)</f>
        <v>169976625</v>
      </c>
      <c r="C43" s="684">
        <f t="shared" si="6"/>
        <v>117478820</v>
      </c>
      <c r="D43" s="684">
        <f t="shared" si="6"/>
        <v>0</v>
      </c>
      <c r="E43" s="684">
        <f t="shared" si="6"/>
        <v>52497805</v>
      </c>
      <c r="F43" s="684">
        <f t="shared" si="6"/>
        <v>52497805</v>
      </c>
      <c r="G43" s="684">
        <f t="shared" si="6"/>
        <v>0</v>
      </c>
      <c r="H43" s="684">
        <f t="shared" si="6"/>
        <v>0</v>
      </c>
      <c r="I43" s="685">
        <f t="shared" si="6"/>
        <v>169976625</v>
      </c>
    </row>
    <row r="44" spans="1:9" x14ac:dyDescent="0.2">
      <c r="A44" s="669" t="s">
        <v>90</v>
      </c>
      <c r="B44" s="682">
        <f>C44+E44+H44</f>
        <v>0</v>
      </c>
      <c r="C44" s="682"/>
      <c r="D44" s="682"/>
      <c r="E44" s="682"/>
      <c r="F44" s="678"/>
      <c r="G44" s="682"/>
      <c r="H44" s="682"/>
      <c r="I44" s="680">
        <f>C44+F44</f>
        <v>0</v>
      </c>
    </row>
    <row r="45" spans="1:9" x14ac:dyDescent="0.2">
      <c r="A45" s="670" t="s">
        <v>91</v>
      </c>
      <c r="B45" s="682">
        <f>C45+E45+H45</f>
        <v>161305725</v>
      </c>
      <c r="C45" s="682"/>
      <c r="D45" s="682">
        <v>87833480</v>
      </c>
      <c r="E45" s="682">
        <v>121637168</v>
      </c>
      <c r="F45" s="682">
        <v>121637168</v>
      </c>
      <c r="G45" s="682"/>
      <c r="H45" s="682">
        <v>39668557</v>
      </c>
      <c r="I45" s="683">
        <f>C45+F45</f>
        <v>121637168</v>
      </c>
    </row>
    <row r="46" spans="1:9" x14ac:dyDescent="0.2">
      <c r="A46" s="670" t="s">
        <v>92</v>
      </c>
      <c r="B46" s="682">
        <f>C46+E46+H46</f>
        <v>8670900</v>
      </c>
      <c r="C46" s="682"/>
      <c r="D46" s="682">
        <v>5930300</v>
      </c>
      <c r="E46" s="682">
        <v>1243000</v>
      </c>
      <c r="F46" s="682">
        <v>1243000</v>
      </c>
      <c r="G46" s="682"/>
      <c r="H46" s="682">
        <v>7427900</v>
      </c>
      <c r="I46" s="683">
        <f>C46+F46</f>
        <v>1243000</v>
      </c>
    </row>
    <row r="47" spans="1:9" x14ac:dyDescent="0.2">
      <c r="A47" s="670" t="s">
        <v>93</v>
      </c>
      <c r="B47" s="682">
        <f>C47+E47+H47</f>
        <v>0</v>
      </c>
      <c r="C47" s="682"/>
      <c r="D47" s="682">
        <v>0</v>
      </c>
      <c r="E47" s="682"/>
      <c r="F47" s="682"/>
      <c r="G47" s="682"/>
      <c r="H47" s="682"/>
      <c r="I47" s="683">
        <f>C47+F47</f>
        <v>0</v>
      </c>
    </row>
    <row r="48" spans="1:9" ht="13.5" thickBot="1" x14ac:dyDescent="0.25">
      <c r="A48" s="671" t="s">
        <v>943</v>
      </c>
      <c r="B48" s="682">
        <f>C48+E48+H48</f>
        <v>0</v>
      </c>
      <c r="C48" s="682"/>
      <c r="D48" s="682">
        <v>23715040</v>
      </c>
      <c r="E48" s="686">
        <v>39668557</v>
      </c>
      <c r="F48" s="686">
        <v>39668557</v>
      </c>
      <c r="G48" s="682"/>
      <c r="H48" s="682">
        <v>-39668557</v>
      </c>
      <c r="I48" s="687">
        <f>C48+F48</f>
        <v>39668557</v>
      </c>
    </row>
    <row r="49" spans="1:9" ht="13.5" thickBot="1" x14ac:dyDescent="0.25">
      <c r="A49" s="672" t="s">
        <v>74</v>
      </c>
      <c r="B49" s="694">
        <f t="shared" ref="B49:I49" si="7">SUM(B44:B48)</f>
        <v>169976625</v>
      </c>
      <c r="C49" s="684">
        <f t="shared" si="7"/>
        <v>0</v>
      </c>
      <c r="D49" s="684">
        <f t="shared" si="7"/>
        <v>117478820</v>
      </c>
      <c r="E49" s="684">
        <f t="shared" si="7"/>
        <v>162548725</v>
      </c>
      <c r="F49" s="684">
        <f t="shared" si="7"/>
        <v>162548725</v>
      </c>
      <c r="G49" s="684">
        <f t="shared" si="7"/>
        <v>0</v>
      </c>
      <c r="H49" s="684">
        <f t="shared" si="7"/>
        <v>7427900</v>
      </c>
      <c r="I49" s="685">
        <f t="shared" si="7"/>
        <v>162548725</v>
      </c>
    </row>
    <row r="52" spans="1:9" x14ac:dyDescent="0.2">
      <c r="I52" s="802"/>
    </row>
  </sheetData>
  <mergeCells count="24">
    <mergeCell ref="C34:C35"/>
    <mergeCell ref="A6:B6"/>
    <mergeCell ref="C6:I6"/>
    <mergeCell ref="H7:I7"/>
    <mergeCell ref="A8:A11"/>
    <mergeCell ref="B8:I8"/>
    <mergeCell ref="A26:I26"/>
    <mergeCell ref="A30:B30"/>
    <mergeCell ref="C30:I30"/>
    <mergeCell ref="H31:I31"/>
    <mergeCell ref="G11:I11"/>
    <mergeCell ref="A1:I1"/>
    <mergeCell ref="A3:I3"/>
    <mergeCell ref="A4:I4"/>
    <mergeCell ref="A32:A35"/>
    <mergeCell ref="B32:I32"/>
    <mergeCell ref="B33:B35"/>
    <mergeCell ref="C33:I33"/>
    <mergeCell ref="B9:B11"/>
    <mergeCell ref="C9:I9"/>
    <mergeCell ref="C10:C11"/>
    <mergeCell ref="D11:F11"/>
    <mergeCell ref="D35:F35"/>
    <mergeCell ref="G35:I3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69" orientation="portrait" r:id="rId1"/>
  <headerFooter alignWithMargins="0">
    <oddHeader xml:space="preserve">&amp;C&amp;"Times New Roman CE,Félkövér"&amp;12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12E37-3C09-4AD4-9CC2-23A3FCBB5E03}">
  <sheetPr codeName="Munka4">
    <tabColor theme="5"/>
  </sheetPr>
  <dimension ref="A1:K158"/>
  <sheetViews>
    <sheetView topLeftCell="A55" zoomScale="120" zoomScaleNormal="120" zoomScaleSheetLayoutView="100" workbookViewId="0">
      <selection activeCell="B152" sqref="B152"/>
    </sheetView>
  </sheetViews>
  <sheetFormatPr defaultRowHeight="12.75" x14ac:dyDescent="0.2"/>
  <cols>
    <col min="1" max="1" width="16.1640625" style="162" customWidth="1"/>
    <col min="2" max="2" width="63.83203125" style="163" customWidth="1"/>
    <col min="3" max="3" width="14.1640625" style="16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3">
      <c r="A1" s="327"/>
      <c r="B1" s="866" t="str">
        <f>CONCATENATE("6.1. melléklet ",Z_ALAPADATOK!A7," ",Z_ALAPADATOK!B7," ",Z_ALAPADATOK!C7," ",Z_ALAPADATOK!D7," ",Z_ALAPADATOK!E7," ",Z_ALAPADATOK!F7," ",Z_ALAPADATOK!G7," ",Z_ALAPADATOK!H7)</f>
        <v>6.1. melléklet a … / 2022. ( … ) önkormányzati rendelethez</v>
      </c>
      <c r="C1" s="867"/>
      <c r="D1" s="867"/>
      <c r="E1" s="867"/>
    </row>
    <row r="2" spans="1:5" s="51" customFormat="1" ht="21.2" customHeight="1" thickBot="1" x14ac:dyDescent="0.25">
      <c r="A2" s="336" t="s">
        <v>44</v>
      </c>
      <c r="B2" s="865" t="str">
        <f>CONCATENATE(Z_ALAPADATOK!A3)</f>
        <v>Sajószöged Községi Önkormányzat</v>
      </c>
      <c r="C2" s="865"/>
      <c r="D2" s="865"/>
      <c r="E2" s="337" t="s">
        <v>38</v>
      </c>
    </row>
    <row r="3" spans="1:5" s="51" customFormat="1" ht="24.75" thickBot="1" x14ac:dyDescent="0.25">
      <c r="A3" s="336" t="s">
        <v>134</v>
      </c>
      <c r="B3" s="865" t="s">
        <v>302</v>
      </c>
      <c r="C3" s="865"/>
      <c r="D3" s="865"/>
      <c r="E3" s="338" t="s">
        <v>38</v>
      </c>
    </row>
    <row r="4" spans="1:5" s="52" customFormat="1" ht="15.95" customHeight="1" thickBot="1" x14ac:dyDescent="0.3">
      <c r="A4" s="330"/>
      <c r="B4" s="330"/>
      <c r="C4" s="331"/>
      <c r="D4" s="332"/>
      <c r="E4" s="341" t="str">
        <f>'Z_4.sz.mell.'!G2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+CONCATENATE("Teljesítés",CHAR(10),LEFT(Z_ÖSSZEFÜGGÉSEK!A6,4),". XII. 31.")</f>
        <v>Teljesítés
2021. XII. 31.</v>
      </c>
    </row>
    <row r="6" spans="1:5" s="47" customFormat="1" ht="12.95" customHeight="1" thickBot="1" x14ac:dyDescent="0.25">
      <c r="A6" s="77" t="s">
        <v>385</v>
      </c>
      <c r="B6" s="78" t="s">
        <v>386</v>
      </c>
      <c r="C6" s="78" t="s">
        <v>387</v>
      </c>
      <c r="D6" s="289" t="s">
        <v>389</v>
      </c>
      <c r="E6" s="79" t="s">
        <v>388</v>
      </c>
    </row>
    <row r="7" spans="1:5" s="47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47" customFormat="1" ht="12" customHeight="1" thickBot="1" x14ac:dyDescent="0.25">
      <c r="A8" s="25" t="s">
        <v>6</v>
      </c>
      <c r="B8" s="19" t="s">
        <v>161</v>
      </c>
      <c r="C8" s="169">
        <f>+C9+C10+C11+C12+C13+C14</f>
        <v>168879689</v>
      </c>
      <c r="D8" s="256">
        <f>+D9+D10+D11+D12+D13+D14</f>
        <v>192219846</v>
      </c>
      <c r="E8" s="105">
        <f>+E9+E10+E11+E12+E13+E14</f>
        <v>192219846</v>
      </c>
    </row>
    <row r="9" spans="1:5" s="53" customFormat="1" ht="12" customHeight="1" x14ac:dyDescent="0.2">
      <c r="A9" s="199" t="s">
        <v>63</v>
      </c>
      <c r="B9" s="182" t="s">
        <v>162</v>
      </c>
      <c r="C9" s="171">
        <v>57626844</v>
      </c>
      <c r="D9" s="258">
        <v>57872570</v>
      </c>
      <c r="E9" s="107">
        <v>57872570</v>
      </c>
    </row>
    <row r="10" spans="1:5" s="54" customFormat="1" ht="12" customHeight="1" x14ac:dyDescent="0.2">
      <c r="A10" s="200" t="s">
        <v>64</v>
      </c>
      <c r="B10" s="183" t="s">
        <v>163</v>
      </c>
      <c r="C10" s="171">
        <v>51930050</v>
      </c>
      <c r="D10" s="258">
        <v>54207000</v>
      </c>
      <c r="E10" s="106">
        <v>54207000</v>
      </c>
    </row>
    <row r="11" spans="1:5" s="54" customFormat="1" ht="12" customHeight="1" x14ac:dyDescent="0.2">
      <c r="A11" s="200" t="s">
        <v>65</v>
      </c>
      <c r="B11" s="183" t="s">
        <v>164</v>
      </c>
      <c r="C11" s="171">
        <v>54251505</v>
      </c>
      <c r="D11" s="258">
        <v>57091483</v>
      </c>
      <c r="E11" s="106">
        <v>57091483</v>
      </c>
    </row>
    <row r="12" spans="1:5" s="54" customFormat="1" ht="12" customHeight="1" x14ac:dyDescent="0.2">
      <c r="A12" s="200" t="s">
        <v>66</v>
      </c>
      <c r="B12" s="183" t="s">
        <v>165</v>
      </c>
      <c r="C12" s="171">
        <v>5071290</v>
      </c>
      <c r="D12" s="258">
        <v>5155422</v>
      </c>
      <c r="E12" s="106">
        <v>5155422</v>
      </c>
    </row>
    <row r="13" spans="1:5" s="54" customFormat="1" ht="12" customHeight="1" x14ac:dyDescent="0.2">
      <c r="A13" s="200" t="s">
        <v>96</v>
      </c>
      <c r="B13" s="183" t="s">
        <v>393</v>
      </c>
      <c r="C13" s="171"/>
      <c r="D13" s="258">
        <v>17711650</v>
      </c>
      <c r="E13" s="106">
        <v>17711650</v>
      </c>
    </row>
    <row r="14" spans="1:5" s="53" customFormat="1" ht="12" customHeight="1" thickBot="1" x14ac:dyDescent="0.25">
      <c r="A14" s="201" t="s">
        <v>67</v>
      </c>
      <c r="B14" s="184" t="s">
        <v>334</v>
      </c>
      <c r="C14" s="170"/>
      <c r="D14" s="258">
        <v>181721</v>
      </c>
      <c r="E14" s="106">
        <v>181721</v>
      </c>
    </row>
    <row r="15" spans="1:5" s="53" customFormat="1" ht="12" customHeight="1" thickBot="1" x14ac:dyDescent="0.25">
      <c r="A15" s="25" t="s">
        <v>7</v>
      </c>
      <c r="B15" s="112" t="s">
        <v>166</v>
      </c>
      <c r="C15" s="169">
        <f>+C16+C17+C18+C19+C20</f>
        <v>8356200</v>
      </c>
      <c r="D15" s="256">
        <f>+D16+D17+D18+D19+D20</f>
        <v>11374380</v>
      </c>
      <c r="E15" s="105">
        <f>+E16+E17+E18+E19+E20</f>
        <v>12365299</v>
      </c>
    </row>
    <row r="16" spans="1:5" s="53" customFormat="1" ht="12" customHeight="1" x14ac:dyDescent="0.2">
      <c r="A16" s="199" t="s">
        <v>69</v>
      </c>
      <c r="B16" s="182" t="s">
        <v>167</v>
      </c>
      <c r="C16" s="171"/>
      <c r="D16" s="259"/>
      <c r="E16" s="107"/>
    </row>
    <row r="17" spans="1:5" s="53" customFormat="1" ht="12" customHeight="1" x14ac:dyDescent="0.2">
      <c r="A17" s="200" t="s">
        <v>70</v>
      </c>
      <c r="B17" s="183" t="s">
        <v>168</v>
      </c>
      <c r="C17" s="171"/>
      <c r="D17" s="259"/>
      <c r="E17" s="106"/>
    </row>
    <row r="18" spans="1:5" s="53" customFormat="1" ht="12" customHeight="1" x14ac:dyDescent="0.2">
      <c r="A18" s="200" t="s">
        <v>71</v>
      </c>
      <c r="B18" s="183" t="s">
        <v>325</v>
      </c>
      <c r="C18" s="171"/>
      <c r="D18" s="259"/>
      <c r="E18" s="106"/>
    </row>
    <row r="19" spans="1:5" s="53" customFormat="1" ht="12" customHeight="1" x14ac:dyDescent="0.2">
      <c r="A19" s="200" t="s">
        <v>72</v>
      </c>
      <c r="B19" s="183" t="s">
        <v>326</v>
      </c>
      <c r="C19" s="171"/>
      <c r="D19" s="259"/>
      <c r="E19" s="106"/>
    </row>
    <row r="20" spans="1:5" s="53" customFormat="1" ht="12" customHeight="1" x14ac:dyDescent="0.2">
      <c r="A20" s="200" t="s">
        <v>73</v>
      </c>
      <c r="B20" s="183" t="s">
        <v>169</v>
      </c>
      <c r="C20" s="171">
        <v>8356200</v>
      </c>
      <c r="D20" s="259">
        <v>11374380</v>
      </c>
      <c r="E20" s="106">
        <v>12365299</v>
      </c>
    </row>
    <row r="21" spans="1:5" s="54" customFormat="1" ht="12" customHeight="1" thickBot="1" x14ac:dyDescent="0.25">
      <c r="A21" s="201" t="s">
        <v>80</v>
      </c>
      <c r="B21" s="184" t="s">
        <v>170</v>
      </c>
      <c r="C21" s="171"/>
      <c r="D21" s="259"/>
      <c r="E21" s="108"/>
    </row>
    <row r="22" spans="1:5" s="54" customFormat="1" ht="12" customHeight="1" thickBot="1" x14ac:dyDescent="0.25">
      <c r="A22" s="25" t="s">
        <v>8</v>
      </c>
      <c r="B22" s="19" t="s">
        <v>171</v>
      </c>
      <c r="C22" s="169">
        <f>+C23+C24+C25+C26+C27</f>
        <v>30000000</v>
      </c>
      <c r="D22" s="256">
        <f>+D23+D24+D25+D26+D27</f>
        <v>119719194</v>
      </c>
      <c r="E22" s="105">
        <f>+E23+E24+E25+E26+E27</f>
        <v>89719194</v>
      </c>
    </row>
    <row r="23" spans="1:5" s="54" customFormat="1" ht="12" customHeight="1" x14ac:dyDescent="0.2">
      <c r="A23" s="199" t="s">
        <v>52</v>
      </c>
      <c r="B23" s="182" t="s">
        <v>172</v>
      </c>
      <c r="C23" s="171"/>
      <c r="D23" s="257"/>
      <c r="E23" s="107"/>
    </row>
    <row r="24" spans="1:5" s="53" customFormat="1" ht="12" customHeight="1" x14ac:dyDescent="0.2">
      <c r="A24" s="200" t="s">
        <v>53</v>
      </c>
      <c r="B24" s="183" t="s">
        <v>173</v>
      </c>
      <c r="C24" s="170"/>
      <c r="D24" s="258"/>
      <c r="E24" s="106"/>
    </row>
    <row r="25" spans="1:5" s="54" customFormat="1" ht="12" customHeight="1" x14ac:dyDescent="0.2">
      <c r="A25" s="200" t="s">
        <v>54</v>
      </c>
      <c r="B25" s="183" t="s">
        <v>327</v>
      </c>
      <c r="C25" s="170"/>
      <c r="D25" s="258"/>
      <c r="E25" s="106"/>
    </row>
    <row r="26" spans="1:5" s="54" customFormat="1" ht="12" customHeight="1" x14ac:dyDescent="0.2">
      <c r="A26" s="200" t="s">
        <v>55</v>
      </c>
      <c r="B26" s="183" t="s">
        <v>328</v>
      </c>
      <c r="C26" s="170"/>
      <c r="D26" s="258"/>
      <c r="E26" s="106"/>
    </row>
    <row r="27" spans="1:5" s="54" customFormat="1" ht="12" customHeight="1" x14ac:dyDescent="0.2">
      <c r="A27" s="200" t="s">
        <v>109</v>
      </c>
      <c r="B27" s="183" t="s">
        <v>174</v>
      </c>
      <c r="C27" s="170">
        <v>30000000</v>
      </c>
      <c r="D27" s="258">
        <v>119719194</v>
      </c>
      <c r="E27" s="710">
        <v>89719194</v>
      </c>
    </row>
    <row r="28" spans="1:5" s="54" customFormat="1" ht="12" customHeight="1" thickBot="1" x14ac:dyDescent="0.25">
      <c r="A28" s="201" t="s">
        <v>110</v>
      </c>
      <c r="B28" s="184" t="s">
        <v>175</v>
      </c>
      <c r="C28" s="172">
        <v>30000000</v>
      </c>
      <c r="D28" s="258">
        <v>119719194</v>
      </c>
      <c r="E28" s="711">
        <f>E27</f>
        <v>89719194</v>
      </c>
    </row>
    <row r="29" spans="1:5" s="54" customFormat="1" ht="12" customHeight="1" thickBot="1" x14ac:dyDescent="0.25">
      <c r="A29" s="25" t="s">
        <v>111</v>
      </c>
      <c r="B29" s="19" t="s">
        <v>475</v>
      </c>
      <c r="C29" s="175">
        <f>SUM(C30:C36)</f>
        <v>212900000</v>
      </c>
      <c r="D29" s="175">
        <f>SUM(D30:D36)</f>
        <v>213000000</v>
      </c>
      <c r="E29" s="211">
        <f>SUM(E30:E36)</f>
        <v>223886819</v>
      </c>
    </row>
    <row r="30" spans="1:5" s="54" customFormat="1" ht="12" customHeight="1" x14ac:dyDescent="0.2">
      <c r="A30" s="199" t="s">
        <v>176</v>
      </c>
      <c r="B30" s="182" t="str">
        <f>'Z_1.1.sz.mell.'!B33</f>
        <v>Építményadó</v>
      </c>
      <c r="C30" s="171">
        <v>3100000</v>
      </c>
      <c r="D30" s="171">
        <v>3100000</v>
      </c>
      <c r="E30" s="106">
        <v>3008321</v>
      </c>
    </row>
    <row r="31" spans="1:5" s="54" customFormat="1" ht="12" customHeight="1" x14ac:dyDescent="0.2">
      <c r="A31" s="200" t="s">
        <v>177</v>
      </c>
      <c r="B31" s="182" t="str">
        <f>'Z_1.1.sz.mell.'!B34</f>
        <v xml:space="preserve">Idegenforgalmi adó </v>
      </c>
      <c r="C31" s="170"/>
      <c r="D31" s="170"/>
      <c r="E31" s="106"/>
    </row>
    <row r="32" spans="1:5" s="54" customFormat="1" ht="12" customHeight="1" x14ac:dyDescent="0.2">
      <c r="A32" s="200" t="s">
        <v>178</v>
      </c>
      <c r="B32" s="182" t="str">
        <f>'Z_1.1.sz.mell.'!B35</f>
        <v>Iparűzési adó</v>
      </c>
      <c r="C32" s="170">
        <v>110000000</v>
      </c>
      <c r="D32" s="170">
        <v>110000000</v>
      </c>
      <c r="E32" s="106">
        <v>119557187</v>
      </c>
    </row>
    <row r="33" spans="1:5" s="54" customFormat="1" ht="12" customHeight="1" x14ac:dyDescent="0.2">
      <c r="A33" s="200" t="s">
        <v>179</v>
      </c>
      <c r="B33" s="182" t="str">
        <f>'Z_1.1.sz.mell.'!B36</f>
        <v>Talajterhelési díj</v>
      </c>
      <c r="C33" s="170">
        <v>350000</v>
      </c>
      <c r="D33" s="170">
        <v>350000</v>
      </c>
      <c r="E33" s="106">
        <v>1067520</v>
      </c>
    </row>
    <row r="34" spans="1:5" s="54" customFormat="1" ht="12" customHeight="1" x14ac:dyDescent="0.2">
      <c r="A34" s="200" t="s">
        <v>479</v>
      </c>
      <c r="B34" s="182" t="str">
        <f>'Z_1.1.sz.mell.'!B37</f>
        <v>Gépjárműadó</v>
      </c>
      <c r="C34" s="170"/>
      <c r="D34" s="170"/>
      <c r="E34" s="106"/>
    </row>
    <row r="35" spans="1:5" s="54" customFormat="1" ht="12" customHeight="1" x14ac:dyDescent="0.2">
      <c r="A35" s="200" t="s">
        <v>480</v>
      </c>
      <c r="B35" s="182" t="str">
        <f>'Z_1.1.sz.mell.'!B38</f>
        <v>Telekadó</v>
      </c>
      <c r="C35" s="170">
        <v>99000000</v>
      </c>
      <c r="D35" s="170">
        <v>99000000</v>
      </c>
      <c r="E35" s="106">
        <v>99759980</v>
      </c>
    </row>
    <row r="36" spans="1:5" s="54" customFormat="1" ht="12" customHeight="1" thickBot="1" x14ac:dyDescent="0.25">
      <c r="A36" s="201" t="s">
        <v>481</v>
      </c>
      <c r="B36" s="182" t="s">
        <v>897</v>
      </c>
      <c r="C36" s="172">
        <v>450000</v>
      </c>
      <c r="D36" s="172">
        <v>550000</v>
      </c>
      <c r="E36" s="108">
        <v>493811</v>
      </c>
    </row>
    <row r="37" spans="1:5" s="54" customFormat="1" ht="12" customHeight="1" thickBot="1" x14ac:dyDescent="0.25">
      <c r="A37" s="25" t="s">
        <v>10</v>
      </c>
      <c r="B37" s="19" t="s">
        <v>335</v>
      </c>
      <c r="C37" s="169">
        <f>SUM(C38:C48)</f>
        <v>37149491</v>
      </c>
      <c r="D37" s="256">
        <f>SUM(D38:D48)</f>
        <v>74776978</v>
      </c>
      <c r="E37" s="105">
        <f>SUM(E38:E48)</f>
        <v>66865534</v>
      </c>
    </row>
    <row r="38" spans="1:5" s="54" customFormat="1" ht="12" customHeight="1" x14ac:dyDescent="0.2">
      <c r="A38" s="199" t="s">
        <v>56</v>
      </c>
      <c r="B38" s="182" t="s">
        <v>183</v>
      </c>
      <c r="C38" s="171"/>
      <c r="D38" s="257"/>
      <c r="E38" s="107"/>
    </row>
    <row r="39" spans="1:5" s="54" customFormat="1" ht="12" customHeight="1" x14ac:dyDescent="0.2">
      <c r="A39" s="200" t="s">
        <v>57</v>
      </c>
      <c r="B39" s="183" t="s">
        <v>184</v>
      </c>
      <c r="C39" s="170">
        <v>2000000</v>
      </c>
      <c r="D39" s="258">
        <v>3254089</v>
      </c>
      <c r="E39" s="106">
        <v>2583413</v>
      </c>
    </row>
    <row r="40" spans="1:5" s="54" customFormat="1" ht="12" customHeight="1" x14ac:dyDescent="0.2">
      <c r="A40" s="200" t="s">
        <v>58</v>
      </c>
      <c r="B40" s="183" t="s">
        <v>185</v>
      </c>
      <c r="C40" s="170">
        <v>1500000</v>
      </c>
      <c r="D40" s="258">
        <v>2854860</v>
      </c>
      <c r="E40" s="106">
        <v>2801657</v>
      </c>
    </row>
    <row r="41" spans="1:5" s="54" customFormat="1" ht="12" customHeight="1" x14ac:dyDescent="0.2">
      <c r="A41" s="200" t="s">
        <v>113</v>
      </c>
      <c r="B41" s="183" t="s">
        <v>186</v>
      </c>
      <c r="C41" s="170">
        <v>14000000</v>
      </c>
      <c r="D41" s="258">
        <v>36874754</v>
      </c>
      <c r="E41" s="106">
        <v>33074197</v>
      </c>
    </row>
    <row r="42" spans="1:5" s="54" customFormat="1" ht="12" customHeight="1" x14ac:dyDescent="0.2">
      <c r="A42" s="200" t="s">
        <v>114</v>
      </c>
      <c r="B42" s="183" t="s">
        <v>187</v>
      </c>
      <c r="C42" s="170">
        <v>11911502</v>
      </c>
      <c r="D42" s="258">
        <v>13720021</v>
      </c>
      <c r="E42" s="106">
        <v>11876321</v>
      </c>
    </row>
    <row r="43" spans="1:5" s="54" customFormat="1" ht="12" customHeight="1" x14ac:dyDescent="0.2">
      <c r="A43" s="200" t="s">
        <v>115</v>
      </c>
      <c r="B43" s="183" t="s">
        <v>188</v>
      </c>
      <c r="C43" s="170">
        <v>7737989</v>
      </c>
      <c r="D43" s="258">
        <v>15251481</v>
      </c>
      <c r="E43" s="106">
        <v>13708512</v>
      </c>
    </row>
    <row r="44" spans="1:5" s="54" customFormat="1" ht="12" customHeight="1" x14ac:dyDescent="0.2">
      <c r="A44" s="200" t="s">
        <v>116</v>
      </c>
      <c r="B44" s="183" t="s">
        <v>189</v>
      </c>
      <c r="C44" s="170"/>
      <c r="D44" s="258">
        <v>2401000</v>
      </c>
      <c r="E44" s="106">
        <v>2401000</v>
      </c>
    </row>
    <row r="45" spans="1:5" s="54" customFormat="1" ht="12" customHeight="1" x14ac:dyDescent="0.2">
      <c r="A45" s="200" t="s">
        <v>117</v>
      </c>
      <c r="B45" s="183" t="s">
        <v>482</v>
      </c>
      <c r="C45" s="170"/>
      <c r="D45" s="258"/>
      <c r="E45" s="106"/>
    </row>
    <row r="46" spans="1:5" s="54" customFormat="1" ht="12" customHeight="1" x14ac:dyDescent="0.2">
      <c r="A46" s="200" t="s">
        <v>181</v>
      </c>
      <c r="B46" s="183" t="s">
        <v>191</v>
      </c>
      <c r="C46" s="173"/>
      <c r="D46" s="290">
        <v>42</v>
      </c>
      <c r="E46" s="109">
        <v>61</v>
      </c>
    </row>
    <row r="47" spans="1:5" s="54" customFormat="1" ht="12" customHeight="1" x14ac:dyDescent="0.2">
      <c r="A47" s="201" t="s">
        <v>182</v>
      </c>
      <c r="B47" s="184" t="s">
        <v>337</v>
      </c>
      <c r="C47" s="174"/>
      <c r="D47" s="291">
        <v>350000</v>
      </c>
      <c r="E47" s="110">
        <v>350000</v>
      </c>
    </row>
    <row r="48" spans="1:5" s="54" customFormat="1" ht="12" customHeight="1" thickBot="1" x14ac:dyDescent="0.25">
      <c r="A48" s="201" t="s">
        <v>336</v>
      </c>
      <c r="B48" s="184" t="s">
        <v>192</v>
      </c>
      <c r="C48" s="174"/>
      <c r="D48" s="291">
        <v>70731</v>
      </c>
      <c r="E48" s="110">
        <v>70373</v>
      </c>
    </row>
    <row r="49" spans="1:5" s="54" customFormat="1" ht="12" customHeight="1" thickBot="1" x14ac:dyDescent="0.25">
      <c r="A49" s="25" t="s">
        <v>11</v>
      </c>
      <c r="B49" s="19" t="s">
        <v>193</v>
      </c>
      <c r="C49" s="169">
        <f>SUM(C50:C54)</f>
        <v>1267716</v>
      </c>
      <c r="D49" s="256">
        <f>SUM(D50:D54)</f>
        <v>26385826</v>
      </c>
      <c r="E49" s="105">
        <f>SUM(E50:E54)</f>
        <v>11385826</v>
      </c>
    </row>
    <row r="50" spans="1:5" s="54" customFormat="1" ht="12" customHeight="1" x14ac:dyDescent="0.2">
      <c r="A50" s="199" t="s">
        <v>59</v>
      </c>
      <c r="B50" s="182" t="s">
        <v>197</v>
      </c>
      <c r="C50" s="222"/>
      <c r="D50" s="292"/>
      <c r="E50" s="111"/>
    </row>
    <row r="51" spans="1:5" s="54" customFormat="1" ht="12" customHeight="1" x14ac:dyDescent="0.2">
      <c r="A51" s="200" t="s">
        <v>60</v>
      </c>
      <c r="B51" s="183" t="s">
        <v>198</v>
      </c>
      <c r="C51" s="173">
        <v>1267716</v>
      </c>
      <c r="D51" s="290">
        <v>6385826</v>
      </c>
      <c r="E51" s="109">
        <v>6385826</v>
      </c>
    </row>
    <row r="52" spans="1:5" s="54" customFormat="1" ht="12" customHeight="1" x14ac:dyDescent="0.2">
      <c r="A52" s="200" t="s">
        <v>194</v>
      </c>
      <c r="B52" s="183" t="s">
        <v>199</v>
      </c>
      <c r="C52" s="173"/>
      <c r="D52" s="290"/>
      <c r="E52" s="109"/>
    </row>
    <row r="53" spans="1:5" s="54" customFormat="1" ht="12" customHeight="1" x14ac:dyDescent="0.2">
      <c r="A53" s="200" t="s">
        <v>195</v>
      </c>
      <c r="B53" s="183" t="s">
        <v>200</v>
      </c>
      <c r="C53" s="173"/>
      <c r="D53" s="290">
        <v>20000000</v>
      </c>
      <c r="E53" s="109">
        <v>5000000</v>
      </c>
    </row>
    <row r="54" spans="1:5" s="54" customFormat="1" ht="12" customHeight="1" thickBot="1" x14ac:dyDescent="0.25">
      <c r="A54" s="201" t="s">
        <v>196</v>
      </c>
      <c r="B54" s="184" t="s">
        <v>201</v>
      </c>
      <c r="C54" s="174"/>
      <c r="D54" s="291"/>
      <c r="E54" s="110"/>
    </row>
    <row r="55" spans="1:5" s="54" customFormat="1" ht="12" customHeight="1" thickBot="1" x14ac:dyDescent="0.25">
      <c r="A55" s="25" t="s">
        <v>118</v>
      </c>
      <c r="B55" s="19" t="s">
        <v>202</v>
      </c>
      <c r="C55" s="169">
        <f>SUM(C56:C58)</f>
        <v>0</v>
      </c>
      <c r="D55" s="256">
        <f>SUM(D56:D58)</f>
        <v>0</v>
      </c>
      <c r="E55" s="105">
        <f>SUM(E56:E58)</f>
        <v>0</v>
      </c>
    </row>
    <row r="56" spans="1:5" s="54" customFormat="1" ht="12" customHeight="1" x14ac:dyDescent="0.2">
      <c r="A56" s="199" t="s">
        <v>61</v>
      </c>
      <c r="B56" s="182" t="s">
        <v>203</v>
      </c>
      <c r="C56" s="171"/>
      <c r="D56" s="257"/>
      <c r="E56" s="107"/>
    </row>
    <row r="57" spans="1:5" s="54" customFormat="1" ht="12" customHeight="1" x14ac:dyDescent="0.2">
      <c r="A57" s="200" t="s">
        <v>62</v>
      </c>
      <c r="B57" s="183" t="s">
        <v>329</v>
      </c>
      <c r="C57" s="170"/>
      <c r="D57" s="258"/>
      <c r="E57" s="106"/>
    </row>
    <row r="58" spans="1:5" s="54" customFormat="1" ht="12" customHeight="1" x14ac:dyDescent="0.2">
      <c r="A58" s="200" t="s">
        <v>206</v>
      </c>
      <c r="B58" s="183" t="s">
        <v>204</v>
      </c>
      <c r="C58" s="170"/>
      <c r="D58" s="258"/>
      <c r="E58" s="106"/>
    </row>
    <row r="59" spans="1:5" s="54" customFormat="1" ht="12" customHeight="1" thickBot="1" x14ac:dyDescent="0.25">
      <c r="A59" s="201" t="s">
        <v>207</v>
      </c>
      <c r="B59" s="184" t="s">
        <v>205</v>
      </c>
      <c r="C59" s="172"/>
      <c r="D59" s="259"/>
      <c r="E59" s="108"/>
    </row>
    <row r="60" spans="1:5" s="54" customFormat="1" ht="12" customHeight="1" thickBot="1" x14ac:dyDescent="0.25">
      <c r="A60" s="25" t="s">
        <v>13</v>
      </c>
      <c r="B60" s="112" t="s">
        <v>208</v>
      </c>
      <c r="C60" s="169">
        <f>SUM(C61:C63)</f>
        <v>1649641</v>
      </c>
      <c r="D60" s="256">
        <f>SUM(D61:D63)</f>
        <v>1923842</v>
      </c>
      <c r="E60" s="105">
        <f>SUM(E61:E63)</f>
        <v>2042980</v>
      </c>
    </row>
    <row r="61" spans="1:5" s="54" customFormat="1" ht="12" customHeight="1" x14ac:dyDescent="0.2">
      <c r="A61" s="199" t="s">
        <v>119</v>
      </c>
      <c r="B61" s="182" t="s">
        <v>210</v>
      </c>
      <c r="C61" s="173"/>
      <c r="D61" s="290"/>
      <c r="E61" s="109"/>
    </row>
    <row r="62" spans="1:5" s="54" customFormat="1" ht="12" customHeight="1" x14ac:dyDescent="0.2">
      <c r="A62" s="200" t="s">
        <v>120</v>
      </c>
      <c r="B62" s="183" t="s">
        <v>330</v>
      </c>
      <c r="C62" s="173">
        <v>1649641</v>
      </c>
      <c r="D62" s="290">
        <v>1923842</v>
      </c>
      <c r="E62" s="109">
        <v>2042980</v>
      </c>
    </row>
    <row r="63" spans="1:5" s="54" customFormat="1" ht="12" customHeight="1" x14ac:dyDescent="0.2">
      <c r="A63" s="200" t="s">
        <v>143</v>
      </c>
      <c r="B63" s="183" t="s">
        <v>211</v>
      </c>
      <c r="C63" s="173"/>
      <c r="D63" s="290"/>
      <c r="E63" s="109"/>
    </row>
    <row r="64" spans="1:5" s="54" customFormat="1" ht="12" customHeight="1" thickBot="1" x14ac:dyDescent="0.25">
      <c r="A64" s="201" t="s">
        <v>209</v>
      </c>
      <c r="B64" s="184" t="s">
        <v>212</v>
      </c>
      <c r="C64" s="173"/>
      <c r="D64" s="290"/>
      <c r="E64" s="109"/>
    </row>
    <row r="65" spans="1:5" s="54" customFormat="1" ht="12" customHeight="1" thickBot="1" x14ac:dyDescent="0.25">
      <c r="A65" s="25" t="s">
        <v>14</v>
      </c>
      <c r="B65" s="19" t="s">
        <v>213</v>
      </c>
      <c r="C65" s="175">
        <f>+C8+C15+C22+C29+C37+C49+C55+C60</f>
        <v>460202737</v>
      </c>
      <c r="D65" s="260">
        <f>+D8+D15+D22+D29+D37+D49+D55+D60</f>
        <v>639400066</v>
      </c>
      <c r="E65" s="211">
        <f>+E8+E15+E22+E29+E37+E49+E55+E60</f>
        <v>598485498</v>
      </c>
    </row>
    <row r="66" spans="1:5" s="54" customFormat="1" ht="12" customHeight="1" thickBot="1" x14ac:dyDescent="0.2">
      <c r="A66" s="202" t="s">
        <v>298</v>
      </c>
      <c r="B66" s="112" t="s">
        <v>215</v>
      </c>
      <c r="C66" s="169">
        <f>SUM(C67:C69)</f>
        <v>0</v>
      </c>
      <c r="D66" s="256">
        <f>SUM(D67:D69)</f>
        <v>0</v>
      </c>
      <c r="E66" s="105">
        <f>SUM(E67:E69)</f>
        <v>0</v>
      </c>
    </row>
    <row r="67" spans="1:5" s="54" customFormat="1" ht="12" customHeight="1" x14ac:dyDescent="0.2">
      <c r="A67" s="199" t="s">
        <v>243</v>
      </c>
      <c r="B67" s="182" t="s">
        <v>216</v>
      </c>
      <c r="C67" s="173"/>
      <c r="D67" s="290"/>
      <c r="E67" s="109"/>
    </row>
    <row r="68" spans="1:5" s="54" customFormat="1" ht="12" customHeight="1" x14ac:dyDescent="0.2">
      <c r="A68" s="200" t="s">
        <v>252</v>
      </c>
      <c r="B68" s="183" t="s">
        <v>217</v>
      </c>
      <c r="C68" s="173"/>
      <c r="D68" s="290"/>
      <c r="E68" s="109"/>
    </row>
    <row r="69" spans="1:5" s="54" customFormat="1" ht="12" customHeight="1" thickBot="1" x14ac:dyDescent="0.25">
      <c r="A69" s="209" t="s">
        <v>253</v>
      </c>
      <c r="B69" s="324" t="s">
        <v>362</v>
      </c>
      <c r="C69" s="325"/>
      <c r="D69" s="293"/>
      <c r="E69" s="326"/>
    </row>
    <row r="70" spans="1:5" s="54" customFormat="1" ht="12" customHeight="1" thickBot="1" x14ac:dyDescent="0.2">
      <c r="A70" s="202" t="s">
        <v>219</v>
      </c>
      <c r="B70" s="112" t="s">
        <v>220</v>
      </c>
      <c r="C70" s="169">
        <f>SUM(C71:C74)</f>
        <v>20000000</v>
      </c>
      <c r="D70" s="169">
        <f>SUM(D71:D74)</f>
        <v>0</v>
      </c>
      <c r="E70" s="105">
        <f>SUM(E71:E74)</f>
        <v>0</v>
      </c>
    </row>
    <row r="71" spans="1:5" s="54" customFormat="1" ht="12" customHeight="1" x14ac:dyDescent="0.2">
      <c r="A71" s="199" t="s">
        <v>97</v>
      </c>
      <c r="B71" s="311" t="s">
        <v>221</v>
      </c>
      <c r="C71" s="173">
        <v>20000000</v>
      </c>
      <c r="D71" s="173"/>
      <c r="E71" s="109"/>
    </row>
    <row r="72" spans="1:5" s="54" customFormat="1" ht="12" customHeight="1" x14ac:dyDescent="0.2">
      <c r="A72" s="200" t="s">
        <v>98</v>
      </c>
      <c r="B72" s="311" t="s">
        <v>489</v>
      </c>
      <c r="C72" s="173"/>
      <c r="D72" s="173"/>
      <c r="E72" s="109"/>
    </row>
    <row r="73" spans="1:5" s="54" customFormat="1" ht="12" customHeight="1" x14ac:dyDescent="0.2">
      <c r="A73" s="200" t="s">
        <v>244</v>
      </c>
      <c r="B73" s="311" t="s">
        <v>222</v>
      </c>
      <c r="C73" s="173"/>
      <c r="D73" s="173"/>
      <c r="E73" s="109"/>
    </row>
    <row r="74" spans="1:5" s="54" customFormat="1" ht="12" customHeight="1" thickBot="1" x14ac:dyDescent="0.25">
      <c r="A74" s="201" t="s">
        <v>245</v>
      </c>
      <c r="B74" s="312" t="s">
        <v>490</v>
      </c>
      <c r="C74" s="173"/>
      <c r="D74" s="173"/>
      <c r="E74" s="109"/>
    </row>
    <row r="75" spans="1:5" s="54" customFormat="1" ht="12" customHeight="1" thickBot="1" x14ac:dyDescent="0.2">
      <c r="A75" s="202" t="s">
        <v>223</v>
      </c>
      <c r="B75" s="112" t="s">
        <v>224</v>
      </c>
      <c r="C75" s="169">
        <f>SUM(C76:C77)</f>
        <v>160139572</v>
      </c>
      <c r="D75" s="169">
        <f>SUM(D76:D77)</f>
        <v>162476649</v>
      </c>
      <c r="E75" s="105">
        <f>SUM(E76:E77)</f>
        <v>162476649</v>
      </c>
    </row>
    <row r="76" spans="1:5" s="54" customFormat="1" ht="12" customHeight="1" x14ac:dyDescent="0.2">
      <c r="A76" s="199" t="s">
        <v>246</v>
      </c>
      <c r="B76" s="182" t="s">
        <v>225</v>
      </c>
      <c r="C76" s="173">
        <v>160139572</v>
      </c>
      <c r="D76" s="173">
        <v>162476649</v>
      </c>
      <c r="E76" s="109">
        <v>162476649</v>
      </c>
    </row>
    <row r="77" spans="1:5" s="54" customFormat="1" ht="12" customHeight="1" thickBot="1" x14ac:dyDescent="0.25">
      <c r="A77" s="201" t="s">
        <v>247</v>
      </c>
      <c r="B77" s="184" t="s">
        <v>226</v>
      </c>
      <c r="C77" s="173"/>
      <c r="D77" s="173"/>
      <c r="E77" s="109"/>
    </row>
    <row r="78" spans="1:5" s="53" customFormat="1" ht="12" customHeight="1" thickBot="1" x14ac:dyDescent="0.2">
      <c r="A78" s="202" t="s">
        <v>227</v>
      </c>
      <c r="B78" s="112" t="s">
        <v>228</v>
      </c>
      <c r="C78" s="169">
        <f>SUM(C79:C81)</f>
        <v>0</v>
      </c>
      <c r="D78" s="169">
        <f>SUM(D79:D81)</f>
        <v>554674</v>
      </c>
      <c r="E78" s="105">
        <f>SUM(E79:E81)</f>
        <v>7640915</v>
      </c>
    </row>
    <row r="79" spans="1:5" s="54" customFormat="1" ht="12" customHeight="1" x14ac:dyDescent="0.2">
      <c r="A79" s="199" t="s">
        <v>248</v>
      </c>
      <c r="B79" s="182" t="s">
        <v>229</v>
      </c>
      <c r="C79" s="173"/>
      <c r="D79" s="173">
        <v>554674</v>
      </c>
      <c r="E79" s="109">
        <v>7640915</v>
      </c>
    </row>
    <row r="80" spans="1:5" s="54" customFormat="1" ht="12" customHeight="1" x14ac:dyDescent="0.2">
      <c r="A80" s="200" t="s">
        <v>249</v>
      </c>
      <c r="B80" s="183" t="s">
        <v>230</v>
      </c>
      <c r="C80" s="173"/>
      <c r="D80" s="173"/>
      <c r="E80" s="109"/>
    </row>
    <row r="81" spans="1:5" s="54" customFormat="1" ht="12" customHeight="1" thickBot="1" x14ac:dyDescent="0.25">
      <c r="A81" s="201" t="s">
        <v>250</v>
      </c>
      <c r="B81" s="184" t="s">
        <v>491</v>
      </c>
      <c r="C81" s="173"/>
      <c r="D81" s="173"/>
      <c r="E81" s="109"/>
    </row>
    <row r="82" spans="1:5" s="54" customFormat="1" ht="12" customHeight="1" thickBot="1" x14ac:dyDescent="0.2">
      <c r="A82" s="202" t="s">
        <v>231</v>
      </c>
      <c r="B82" s="112" t="s">
        <v>251</v>
      </c>
      <c r="C82" s="169">
        <f>SUM(C83:C86)</f>
        <v>0</v>
      </c>
      <c r="D82" s="169">
        <f>SUM(D83:D86)</f>
        <v>0</v>
      </c>
      <c r="E82" s="105">
        <f>SUM(E83:E86)</f>
        <v>0</v>
      </c>
    </row>
    <row r="83" spans="1:5" s="54" customFormat="1" ht="12" customHeight="1" x14ac:dyDescent="0.2">
      <c r="A83" s="203" t="s">
        <v>232</v>
      </c>
      <c r="B83" s="182" t="s">
        <v>233</v>
      </c>
      <c r="C83" s="173"/>
      <c r="D83" s="173"/>
      <c r="E83" s="109"/>
    </row>
    <row r="84" spans="1:5" s="54" customFormat="1" ht="12" customHeight="1" x14ac:dyDescent="0.2">
      <c r="A84" s="204" t="s">
        <v>234</v>
      </c>
      <c r="B84" s="183" t="s">
        <v>235</v>
      </c>
      <c r="C84" s="173"/>
      <c r="D84" s="173"/>
      <c r="E84" s="109"/>
    </row>
    <row r="85" spans="1:5" s="54" customFormat="1" ht="12" customHeight="1" x14ac:dyDescent="0.2">
      <c r="A85" s="204" t="s">
        <v>236</v>
      </c>
      <c r="B85" s="183" t="s">
        <v>237</v>
      </c>
      <c r="C85" s="173"/>
      <c r="D85" s="173"/>
      <c r="E85" s="109"/>
    </row>
    <row r="86" spans="1:5" s="53" customFormat="1" ht="12" customHeight="1" thickBot="1" x14ac:dyDescent="0.25">
      <c r="A86" s="205" t="s">
        <v>238</v>
      </c>
      <c r="B86" s="184" t="s">
        <v>239</v>
      </c>
      <c r="C86" s="173"/>
      <c r="D86" s="173"/>
      <c r="E86" s="109"/>
    </row>
    <row r="87" spans="1:5" s="53" customFormat="1" ht="12" customHeight="1" thickBot="1" x14ac:dyDescent="0.2">
      <c r="A87" s="202" t="s">
        <v>240</v>
      </c>
      <c r="B87" s="112" t="s">
        <v>376</v>
      </c>
      <c r="C87" s="225"/>
      <c r="D87" s="225"/>
      <c r="E87" s="226"/>
    </row>
    <row r="88" spans="1:5" s="53" customFormat="1" ht="12" customHeight="1" thickBot="1" x14ac:dyDescent="0.2">
      <c r="A88" s="202" t="s">
        <v>394</v>
      </c>
      <c r="B88" s="112" t="s">
        <v>241</v>
      </c>
      <c r="C88" s="225"/>
      <c r="D88" s="225"/>
      <c r="E88" s="226"/>
    </row>
    <row r="89" spans="1:5" s="53" customFormat="1" ht="12" customHeight="1" thickBot="1" x14ac:dyDescent="0.2">
      <c r="A89" s="202" t="s">
        <v>395</v>
      </c>
      <c r="B89" s="189" t="s">
        <v>379</v>
      </c>
      <c r="C89" s="175">
        <f>+C66+C70+C75+C78+C82+C88+C87</f>
        <v>180139572</v>
      </c>
      <c r="D89" s="175">
        <f>+D66+D70+D75+D78+D82+D88+D87</f>
        <v>163031323</v>
      </c>
      <c r="E89" s="211">
        <f>+E66+E70+E75+E78+E82+E88+E87</f>
        <v>170117564</v>
      </c>
    </row>
    <row r="90" spans="1:5" s="53" customFormat="1" ht="12" customHeight="1" thickBot="1" x14ac:dyDescent="0.2">
      <c r="A90" s="206" t="s">
        <v>396</v>
      </c>
      <c r="B90" s="190" t="s">
        <v>397</v>
      </c>
      <c r="C90" s="175">
        <f>+C65+C89</f>
        <v>640342309</v>
      </c>
      <c r="D90" s="175">
        <f>+D65+D89</f>
        <v>802431389</v>
      </c>
      <c r="E90" s="211">
        <f>+E65+E89</f>
        <v>768603062</v>
      </c>
    </row>
    <row r="91" spans="1:5" s="54" customFormat="1" ht="15.2" customHeight="1" thickBot="1" x14ac:dyDescent="0.25">
      <c r="A91" s="89"/>
      <c r="B91" s="90"/>
      <c r="C91" s="151"/>
    </row>
    <row r="92" spans="1:5" s="47" customFormat="1" ht="16.5" customHeight="1" thickBot="1" x14ac:dyDescent="0.25">
      <c r="A92" s="862" t="s">
        <v>40</v>
      </c>
      <c r="B92" s="863"/>
      <c r="C92" s="863"/>
      <c r="D92" s="863"/>
      <c r="E92" s="864"/>
    </row>
    <row r="93" spans="1:5" s="55" customFormat="1" ht="12" customHeight="1" thickBot="1" x14ac:dyDescent="0.25">
      <c r="A93" s="176" t="s">
        <v>6</v>
      </c>
      <c r="B93" s="24" t="s">
        <v>401</v>
      </c>
      <c r="C93" s="168">
        <f>+C94+C95+C96+C97+C98+C111</f>
        <v>269676314</v>
      </c>
      <c r="D93" s="168">
        <f>+D94+D95+D96+D97+D98+D111</f>
        <v>293587934</v>
      </c>
      <c r="E93" s="239">
        <f>+E94+E95+E96+E97+E98+E111</f>
        <v>265135093</v>
      </c>
    </row>
    <row r="94" spans="1:5" ht="12" customHeight="1" x14ac:dyDescent="0.2">
      <c r="A94" s="207" t="s">
        <v>63</v>
      </c>
      <c r="B94" s="8" t="s">
        <v>35</v>
      </c>
      <c r="C94" s="712">
        <v>36898383</v>
      </c>
      <c r="D94" s="246">
        <v>41846949</v>
      </c>
      <c r="E94" s="240">
        <v>39527842</v>
      </c>
    </row>
    <row r="95" spans="1:5" ht="12" customHeight="1" x14ac:dyDescent="0.2">
      <c r="A95" s="200" t="s">
        <v>64</v>
      </c>
      <c r="B95" s="6" t="s">
        <v>121</v>
      </c>
      <c r="C95" s="170">
        <v>7020540</v>
      </c>
      <c r="D95" s="170">
        <v>7720540</v>
      </c>
      <c r="E95" s="106">
        <v>5544614</v>
      </c>
    </row>
    <row r="96" spans="1:5" ht="12" customHeight="1" x14ac:dyDescent="0.2">
      <c r="A96" s="200" t="s">
        <v>65</v>
      </c>
      <c r="B96" s="6" t="s">
        <v>89</v>
      </c>
      <c r="C96" s="172">
        <v>118896333</v>
      </c>
      <c r="D96" s="170">
        <v>132815675</v>
      </c>
      <c r="E96" s="108">
        <v>121922179</v>
      </c>
    </row>
    <row r="97" spans="1:5" ht="12" customHeight="1" x14ac:dyDescent="0.2">
      <c r="A97" s="200" t="s">
        <v>66</v>
      </c>
      <c r="B97" s="9" t="s">
        <v>122</v>
      </c>
      <c r="C97" s="172">
        <v>12550000</v>
      </c>
      <c r="D97" s="259">
        <v>12550000</v>
      </c>
      <c r="E97" s="108">
        <v>10715288</v>
      </c>
    </row>
    <row r="98" spans="1:5" ht="12" customHeight="1" x14ac:dyDescent="0.2">
      <c r="A98" s="200" t="s">
        <v>75</v>
      </c>
      <c r="B98" s="17" t="s">
        <v>123</v>
      </c>
      <c r="C98" s="172">
        <f>SUM(C99:C110)</f>
        <v>84311058</v>
      </c>
      <c r="D98" s="259">
        <v>91431807</v>
      </c>
      <c r="E98" s="108">
        <v>87425170</v>
      </c>
    </row>
    <row r="99" spans="1:5" ht="12" customHeight="1" x14ac:dyDescent="0.2">
      <c r="A99" s="200" t="s">
        <v>67</v>
      </c>
      <c r="B99" s="6" t="s">
        <v>398</v>
      </c>
      <c r="C99" s="172"/>
      <c r="D99" s="259">
        <v>873299</v>
      </c>
      <c r="E99" s="108">
        <v>873299</v>
      </c>
    </row>
    <row r="100" spans="1:5" ht="12" customHeight="1" x14ac:dyDescent="0.2">
      <c r="A100" s="200" t="s">
        <v>68</v>
      </c>
      <c r="B100" s="65" t="s">
        <v>342</v>
      </c>
      <c r="C100" s="172">
        <v>18547030</v>
      </c>
      <c r="D100" s="259">
        <v>18547030</v>
      </c>
      <c r="E100" s="108">
        <v>18547030</v>
      </c>
    </row>
    <row r="101" spans="1:5" ht="12" customHeight="1" x14ac:dyDescent="0.2">
      <c r="A101" s="200" t="s">
        <v>76</v>
      </c>
      <c r="B101" s="65" t="s">
        <v>341</v>
      </c>
      <c r="C101" s="172"/>
      <c r="D101" s="259">
        <v>0</v>
      </c>
      <c r="E101" s="108"/>
    </row>
    <row r="102" spans="1:5" ht="12" customHeight="1" x14ac:dyDescent="0.2">
      <c r="A102" s="200" t="s">
        <v>77</v>
      </c>
      <c r="B102" s="65" t="s">
        <v>257</v>
      </c>
      <c r="C102" s="172"/>
      <c r="D102" s="259">
        <v>0</v>
      </c>
      <c r="E102" s="108"/>
    </row>
    <row r="103" spans="1:5" ht="12" customHeight="1" x14ac:dyDescent="0.2">
      <c r="A103" s="200" t="s">
        <v>78</v>
      </c>
      <c r="B103" s="66" t="s">
        <v>258</v>
      </c>
      <c r="C103" s="172"/>
      <c r="D103" s="259">
        <v>0</v>
      </c>
      <c r="E103" s="108"/>
    </row>
    <row r="104" spans="1:5" ht="12" customHeight="1" x14ac:dyDescent="0.2">
      <c r="A104" s="200" t="s">
        <v>79</v>
      </c>
      <c r="B104" s="66" t="s">
        <v>259</v>
      </c>
      <c r="C104" s="172"/>
      <c r="D104" s="259">
        <v>0</v>
      </c>
      <c r="E104" s="108"/>
    </row>
    <row r="105" spans="1:5" ht="12" customHeight="1" x14ac:dyDescent="0.2">
      <c r="A105" s="200" t="s">
        <v>81</v>
      </c>
      <c r="B105" s="65" t="s">
        <v>260</v>
      </c>
      <c r="C105" s="172">
        <v>4841212</v>
      </c>
      <c r="D105" s="259">
        <v>6041212</v>
      </c>
      <c r="E105" s="108">
        <v>4931707</v>
      </c>
    </row>
    <row r="106" spans="1:5" ht="12" customHeight="1" x14ac:dyDescent="0.2">
      <c r="A106" s="200" t="s">
        <v>124</v>
      </c>
      <c r="B106" s="65" t="s">
        <v>261</v>
      </c>
      <c r="C106" s="172"/>
      <c r="D106" s="259">
        <v>0</v>
      </c>
      <c r="E106" s="108"/>
    </row>
    <row r="107" spans="1:5" ht="12" customHeight="1" x14ac:dyDescent="0.2">
      <c r="A107" s="200" t="s">
        <v>255</v>
      </c>
      <c r="B107" s="66" t="s">
        <v>262</v>
      </c>
      <c r="C107" s="170"/>
      <c r="D107" s="259">
        <v>0</v>
      </c>
      <c r="E107" s="108"/>
    </row>
    <row r="108" spans="1:5" ht="12" customHeight="1" x14ac:dyDescent="0.2">
      <c r="A108" s="208" t="s">
        <v>256</v>
      </c>
      <c r="B108" s="67" t="s">
        <v>263</v>
      </c>
      <c r="C108" s="172"/>
      <c r="D108" s="259">
        <v>0</v>
      </c>
      <c r="E108" s="108"/>
    </row>
    <row r="109" spans="1:5" ht="12" customHeight="1" x14ac:dyDescent="0.2">
      <c r="A109" s="200" t="s">
        <v>339</v>
      </c>
      <c r="B109" s="67" t="s">
        <v>264</v>
      </c>
      <c r="C109" s="172"/>
      <c r="D109" s="259">
        <v>0</v>
      </c>
      <c r="E109" s="108"/>
    </row>
    <row r="110" spans="1:5" ht="12" customHeight="1" x14ac:dyDescent="0.2">
      <c r="A110" s="200" t="s">
        <v>340</v>
      </c>
      <c r="B110" s="66" t="s">
        <v>265</v>
      </c>
      <c r="C110" s="170">
        <v>60922816</v>
      </c>
      <c r="D110" s="258">
        <v>65970266</v>
      </c>
      <c r="E110" s="106">
        <v>62198134</v>
      </c>
    </row>
    <row r="111" spans="1:5" ht="12" customHeight="1" x14ac:dyDescent="0.2">
      <c r="A111" s="200" t="s">
        <v>344</v>
      </c>
      <c r="B111" s="9" t="s">
        <v>36</v>
      </c>
      <c r="C111" s="170">
        <v>10000000</v>
      </c>
      <c r="D111" s="258">
        <v>7222963</v>
      </c>
      <c r="E111" s="106"/>
    </row>
    <row r="112" spans="1:5" ht="12" customHeight="1" x14ac:dyDescent="0.2">
      <c r="A112" s="201" t="s">
        <v>345</v>
      </c>
      <c r="B112" s="6" t="s">
        <v>399</v>
      </c>
      <c r="C112" s="172">
        <v>8000000</v>
      </c>
      <c r="D112" s="259">
        <v>6722963</v>
      </c>
      <c r="E112" s="108"/>
    </row>
    <row r="113" spans="1:5" ht="12" customHeight="1" thickBot="1" x14ac:dyDescent="0.25">
      <c r="A113" s="209" t="s">
        <v>346</v>
      </c>
      <c r="B113" s="68" t="s">
        <v>400</v>
      </c>
      <c r="C113" s="247">
        <v>2000000</v>
      </c>
      <c r="D113" s="296">
        <v>500000</v>
      </c>
      <c r="E113" s="241"/>
    </row>
    <row r="114" spans="1:5" ht="12" customHeight="1" thickBot="1" x14ac:dyDescent="0.25">
      <c r="A114" s="25" t="s">
        <v>7</v>
      </c>
      <c r="B114" s="23" t="s">
        <v>266</v>
      </c>
      <c r="C114" s="169">
        <f>+C115+C117+C119</f>
        <v>122661615</v>
      </c>
      <c r="D114" s="256">
        <f>+D115+D117+D119</f>
        <v>241444898</v>
      </c>
      <c r="E114" s="105">
        <f>+E115+E117+E119</f>
        <v>150790630</v>
      </c>
    </row>
    <row r="115" spans="1:5" ht="12" customHeight="1" x14ac:dyDescent="0.2">
      <c r="A115" s="199" t="s">
        <v>69</v>
      </c>
      <c r="B115" s="6" t="s">
        <v>142</v>
      </c>
      <c r="C115" s="171">
        <v>27551518</v>
      </c>
      <c r="D115" s="257">
        <v>21075059</v>
      </c>
      <c r="E115" s="107">
        <v>20381501</v>
      </c>
    </row>
    <row r="116" spans="1:5" ht="12" customHeight="1" x14ac:dyDescent="0.2">
      <c r="A116" s="199" t="s">
        <v>70</v>
      </c>
      <c r="B116" s="10" t="s">
        <v>270</v>
      </c>
      <c r="C116" s="171"/>
      <c r="D116" s="257">
        <f>'[1]RM_5.1.sz.mell'!$K$116</f>
        <v>8509200</v>
      </c>
      <c r="E116" s="107">
        <f>'Z_1.1.sz.mell.'!E123</f>
        <v>8509200</v>
      </c>
    </row>
    <row r="117" spans="1:5" ht="12" customHeight="1" x14ac:dyDescent="0.2">
      <c r="A117" s="199" t="s">
        <v>71</v>
      </c>
      <c r="B117" s="10" t="s">
        <v>125</v>
      </c>
      <c r="C117" s="170">
        <v>95110097</v>
      </c>
      <c r="D117" s="258">
        <v>216026421</v>
      </c>
      <c r="E117" s="106">
        <v>126065711</v>
      </c>
    </row>
    <row r="118" spans="1:5" ht="12" customHeight="1" x14ac:dyDescent="0.2">
      <c r="A118" s="199" t="s">
        <v>72</v>
      </c>
      <c r="B118" s="10" t="s">
        <v>271</v>
      </c>
      <c r="C118" s="170">
        <v>87833480</v>
      </c>
      <c r="D118" s="258">
        <f>'[1]RM_5.1.sz.mell'!$K$118</f>
        <v>184833480</v>
      </c>
      <c r="E118" s="107">
        <f>'Z_1.1.sz.mell.'!E125</f>
        <v>121637168</v>
      </c>
    </row>
    <row r="119" spans="1:5" ht="12" customHeight="1" x14ac:dyDescent="0.2">
      <c r="A119" s="199" t="s">
        <v>73</v>
      </c>
      <c r="B119" s="114" t="s">
        <v>144</v>
      </c>
      <c r="C119" s="170"/>
      <c r="D119" s="258">
        <v>4343418</v>
      </c>
      <c r="E119" s="106">
        <v>4343418</v>
      </c>
    </row>
    <row r="120" spans="1:5" ht="12" customHeight="1" x14ac:dyDescent="0.2">
      <c r="A120" s="199" t="s">
        <v>80</v>
      </c>
      <c r="B120" s="113" t="s">
        <v>331</v>
      </c>
      <c r="C120" s="170"/>
      <c r="D120" s="258"/>
      <c r="E120" s="106"/>
    </row>
    <row r="121" spans="1:5" ht="12" customHeight="1" x14ac:dyDescent="0.2">
      <c r="A121" s="199" t="s">
        <v>82</v>
      </c>
      <c r="B121" s="178" t="s">
        <v>276</v>
      </c>
      <c r="C121" s="170"/>
      <c r="D121" s="258"/>
      <c r="E121" s="106"/>
    </row>
    <row r="122" spans="1:5" ht="12" customHeight="1" x14ac:dyDescent="0.2">
      <c r="A122" s="199" t="s">
        <v>126</v>
      </c>
      <c r="B122" s="66" t="s">
        <v>259</v>
      </c>
      <c r="C122" s="170"/>
      <c r="D122" s="258">
        <v>4100000</v>
      </c>
      <c r="E122" s="106">
        <v>4100000</v>
      </c>
    </row>
    <row r="123" spans="1:5" ht="12" customHeight="1" x14ac:dyDescent="0.2">
      <c r="A123" s="199" t="s">
        <v>127</v>
      </c>
      <c r="B123" s="66" t="s">
        <v>275</v>
      </c>
      <c r="C123" s="170"/>
      <c r="D123" s="258">
        <v>243418</v>
      </c>
      <c r="E123" s="106">
        <v>243418</v>
      </c>
    </row>
    <row r="124" spans="1:5" ht="12" customHeight="1" x14ac:dyDescent="0.2">
      <c r="A124" s="199" t="s">
        <v>128</v>
      </c>
      <c r="B124" s="66" t="s">
        <v>274</v>
      </c>
      <c r="C124" s="170"/>
      <c r="D124" s="258"/>
      <c r="E124" s="106"/>
    </row>
    <row r="125" spans="1:5" ht="12" customHeight="1" x14ac:dyDescent="0.2">
      <c r="A125" s="199" t="s">
        <v>267</v>
      </c>
      <c r="B125" s="66" t="s">
        <v>262</v>
      </c>
      <c r="C125" s="170"/>
      <c r="D125" s="258"/>
      <c r="E125" s="106"/>
    </row>
    <row r="126" spans="1:5" ht="12" customHeight="1" x14ac:dyDescent="0.2">
      <c r="A126" s="199" t="s">
        <v>268</v>
      </c>
      <c r="B126" s="66" t="s">
        <v>273</v>
      </c>
      <c r="C126" s="170"/>
      <c r="D126" s="258"/>
      <c r="E126" s="106"/>
    </row>
    <row r="127" spans="1:5" ht="12" customHeight="1" thickBot="1" x14ac:dyDescent="0.25">
      <c r="A127" s="208" t="s">
        <v>269</v>
      </c>
      <c r="B127" s="66" t="s">
        <v>272</v>
      </c>
      <c r="C127" s="172"/>
      <c r="D127" s="259"/>
      <c r="E127" s="108"/>
    </row>
    <row r="128" spans="1:5" ht="12" customHeight="1" thickBot="1" x14ac:dyDescent="0.25">
      <c r="A128" s="25" t="s">
        <v>8</v>
      </c>
      <c r="B128" s="59" t="s">
        <v>349</v>
      </c>
      <c r="C128" s="169">
        <f>+C93+C114</f>
        <v>392337929</v>
      </c>
      <c r="D128" s="256">
        <f>+D93+D114</f>
        <v>535032832</v>
      </c>
      <c r="E128" s="105">
        <f>+E93+E114</f>
        <v>415925723</v>
      </c>
    </row>
    <row r="129" spans="1:11" ht="12" customHeight="1" thickBot="1" x14ac:dyDescent="0.25">
      <c r="A129" s="25" t="s">
        <v>9</v>
      </c>
      <c r="B129" s="59" t="s">
        <v>350</v>
      </c>
      <c r="C129" s="169">
        <f>+C130+C131+C132</f>
        <v>0</v>
      </c>
      <c r="D129" s="256">
        <f>+D130+D131+D132</f>
        <v>0</v>
      </c>
      <c r="E129" s="105">
        <f>+E130+E131+E132</f>
        <v>0</v>
      </c>
    </row>
    <row r="130" spans="1:11" s="55" customFormat="1" ht="12" customHeight="1" x14ac:dyDescent="0.2">
      <c r="A130" s="199" t="s">
        <v>176</v>
      </c>
      <c r="B130" s="7" t="s">
        <v>404</v>
      </c>
      <c r="C130" s="170"/>
      <c r="D130" s="258"/>
      <c r="E130" s="106"/>
    </row>
    <row r="131" spans="1:11" ht="12" customHeight="1" x14ac:dyDescent="0.2">
      <c r="A131" s="199" t="s">
        <v>177</v>
      </c>
      <c r="B131" s="7" t="s">
        <v>358</v>
      </c>
      <c r="C131" s="170"/>
      <c r="D131" s="258"/>
      <c r="E131" s="106"/>
    </row>
    <row r="132" spans="1:11" ht="12" customHeight="1" thickBot="1" x14ac:dyDescent="0.25">
      <c r="A132" s="208" t="s">
        <v>178</v>
      </c>
      <c r="B132" s="5" t="s">
        <v>403</v>
      </c>
      <c r="C132" s="170"/>
      <c r="D132" s="258"/>
      <c r="E132" s="106"/>
    </row>
    <row r="133" spans="1:11" ht="12" customHeight="1" thickBot="1" x14ac:dyDescent="0.25">
      <c r="A133" s="25" t="s">
        <v>10</v>
      </c>
      <c r="B133" s="59" t="s">
        <v>351</v>
      </c>
      <c r="C133" s="169">
        <f>+C134+C135+C136+C137+C138+C139</f>
        <v>0</v>
      </c>
      <c r="D133" s="256">
        <f>+D134+D135+D136+D137+D138+D139</f>
        <v>0</v>
      </c>
      <c r="E133" s="105">
        <f>+E134+E135+E136+E137+E138+E139</f>
        <v>0</v>
      </c>
    </row>
    <row r="134" spans="1:11" ht="12" customHeight="1" x14ac:dyDescent="0.2">
      <c r="A134" s="199" t="s">
        <v>56</v>
      </c>
      <c r="B134" s="7" t="s">
        <v>360</v>
      </c>
      <c r="C134" s="170"/>
      <c r="D134" s="258"/>
      <c r="E134" s="106"/>
    </row>
    <row r="135" spans="1:11" ht="12" customHeight="1" x14ac:dyDescent="0.2">
      <c r="A135" s="199" t="s">
        <v>57</v>
      </c>
      <c r="B135" s="7" t="s">
        <v>352</v>
      </c>
      <c r="C135" s="170"/>
      <c r="D135" s="258"/>
      <c r="E135" s="106"/>
    </row>
    <row r="136" spans="1:11" ht="12" customHeight="1" x14ac:dyDescent="0.2">
      <c r="A136" s="199" t="s">
        <v>58</v>
      </c>
      <c r="B136" s="7" t="s">
        <v>353</v>
      </c>
      <c r="C136" s="170"/>
      <c r="D136" s="258"/>
      <c r="E136" s="106"/>
    </row>
    <row r="137" spans="1:11" ht="12" customHeight="1" x14ac:dyDescent="0.2">
      <c r="A137" s="199" t="s">
        <v>113</v>
      </c>
      <c r="B137" s="7" t="s">
        <v>402</v>
      </c>
      <c r="C137" s="170"/>
      <c r="D137" s="258"/>
      <c r="E137" s="106"/>
    </row>
    <row r="138" spans="1:11" ht="12" customHeight="1" x14ac:dyDescent="0.2">
      <c r="A138" s="199" t="s">
        <v>114</v>
      </c>
      <c r="B138" s="7" t="s">
        <v>355</v>
      </c>
      <c r="C138" s="170"/>
      <c r="D138" s="258"/>
      <c r="E138" s="106"/>
    </row>
    <row r="139" spans="1:11" s="55" customFormat="1" ht="12" customHeight="1" thickBot="1" x14ac:dyDescent="0.25">
      <c r="A139" s="208" t="s">
        <v>115</v>
      </c>
      <c r="B139" s="5" t="s">
        <v>356</v>
      </c>
      <c r="C139" s="170"/>
      <c r="D139" s="258"/>
      <c r="E139" s="106"/>
    </row>
    <row r="140" spans="1:11" ht="12" customHeight="1" thickBot="1" x14ac:dyDescent="0.25">
      <c r="A140" s="25" t="s">
        <v>11</v>
      </c>
      <c r="B140" s="59" t="s">
        <v>417</v>
      </c>
      <c r="C140" s="175">
        <f>+C141+C142+C144+C145+C143</f>
        <v>248004380</v>
      </c>
      <c r="D140" s="260">
        <f>+D141+D142+D144+D145+D143</f>
        <v>267398557</v>
      </c>
      <c r="E140" s="211">
        <f>+E141+E142+E144+E145+E143</f>
        <v>243612689</v>
      </c>
      <c r="K140" s="98"/>
    </row>
    <row r="141" spans="1:11" x14ac:dyDescent="0.2">
      <c r="A141" s="199" t="s">
        <v>59</v>
      </c>
      <c r="B141" s="7" t="s">
        <v>277</v>
      </c>
      <c r="C141" s="170"/>
      <c r="D141" s="258"/>
      <c r="E141" s="106"/>
    </row>
    <row r="142" spans="1:11" ht="12" customHeight="1" x14ac:dyDescent="0.2">
      <c r="A142" s="199" t="s">
        <v>60</v>
      </c>
      <c r="B142" s="7" t="s">
        <v>278</v>
      </c>
      <c r="C142" s="170">
        <v>6755189</v>
      </c>
      <c r="D142" s="258">
        <v>7309863</v>
      </c>
      <c r="E142" s="106">
        <v>7309863</v>
      </c>
    </row>
    <row r="143" spans="1:11" ht="12" customHeight="1" x14ac:dyDescent="0.2">
      <c r="A143" s="199" t="s">
        <v>194</v>
      </c>
      <c r="B143" s="7" t="s">
        <v>416</v>
      </c>
      <c r="C143" s="170">
        <v>241249191</v>
      </c>
      <c r="D143" s="258">
        <v>260088694</v>
      </c>
      <c r="E143" s="106">
        <v>236302826</v>
      </c>
    </row>
    <row r="144" spans="1:11" s="55" customFormat="1" ht="12" customHeight="1" x14ac:dyDescent="0.2">
      <c r="A144" s="199" t="s">
        <v>195</v>
      </c>
      <c r="B144" s="7" t="s">
        <v>365</v>
      </c>
      <c r="C144" s="170"/>
      <c r="D144" s="258"/>
      <c r="E144" s="106"/>
    </row>
    <row r="145" spans="1:5" s="55" customFormat="1" ht="12" customHeight="1" thickBot="1" x14ac:dyDescent="0.25">
      <c r="A145" s="208" t="s">
        <v>196</v>
      </c>
      <c r="B145" s="5" t="s">
        <v>294</v>
      </c>
      <c r="C145" s="170"/>
      <c r="D145" s="258"/>
      <c r="E145" s="106"/>
    </row>
    <row r="146" spans="1:5" s="55" customFormat="1" ht="12" customHeight="1" thickBot="1" x14ac:dyDescent="0.25">
      <c r="A146" s="25" t="s">
        <v>12</v>
      </c>
      <c r="B146" s="59" t="s">
        <v>366</v>
      </c>
      <c r="C146" s="249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5" customFormat="1" ht="12" customHeight="1" x14ac:dyDescent="0.2">
      <c r="A147" s="199" t="s">
        <v>61</v>
      </c>
      <c r="B147" s="7" t="s">
        <v>361</v>
      </c>
      <c r="C147" s="170"/>
      <c r="D147" s="258"/>
      <c r="E147" s="106"/>
    </row>
    <row r="148" spans="1:5" s="55" customFormat="1" ht="12" customHeight="1" x14ac:dyDescent="0.2">
      <c r="A148" s="199" t="s">
        <v>62</v>
      </c>
      <c r="B148" s="7" t="s">
        <v>368</v>
      </c>
      <c r="C148" s="170"/>
      <c r="D148" s="258"/>
      <c r="E148" s="106"/>
    </row>
    <row r="149" spans="1:5" s="55" customFormat="1" ht="12" customHeight="1" x14ac:dyDescent="0.2">
      <c r="A149" s="199" t="s">
        <v>206</v>
      </c>
      <c r="B149" s="7" t="s">
        <v>363</v>
      </c>
      <c r="C149" s="170"/>
      <c r="D149" s="258"/>
      <c r="E149" s="106"/>
    </row>
    <row r="150" spans="1:5" s="55" customFormat="1" ht="12" customHeight="1" x14ac:dyDescent="0.2">
      <c r="A150" s="199" t="s">
        <v>207</v>
      </c>
      <c r="B150" s="7" t="s">
        <v>405</v>
      </c>
      <c r="C150" s="170"/>
      <c r="D150" s="258"/>
      <c r="E150" s="106"/>
    </row>
    <row r="151" spans="1:5" ht="12.75" customHeight="1" thickBot="1" x14ac:dyDescent="0.25">
      <c r="A151" s="208" t="s">
        <v>367</v>
      </c>
      <c r="B151" s="5" t="s">
        <v>370</v>
      </c>
      <c r="C151" s="172"/>
      <c r="D151" s="259"/>
      <c r="E151" s="108"/>
    </row>
    <row r="152" spans="1:5" ht="12.75" customHeight="1" thickBot="1" x14ac:dyDescent="0.25">
      <c r="A152" s="238" t="s">
        <v>13</v>
      </c>
      <c r="B152" s="59" t="s">
        <v>371</v>
      </c>
      <c r="C152" s="249"/>
      <c r="D152" s="261"/>
      <c r="E152" s="243"/>
    </row>
    <row r="153" spans="1:5" ht="12.75" customHeight="1" thickBot="1" x14ac:dyDescent="0.25">
      <c r="A153" s="238" t="s">
        <v>14</v>
      </c>
      <c r="B153" s="59" t="s">
        <v>372</v>
      </c>
      <c r="C153" s="249"/>
      <c r="D153" s="261"/>
      <c r="E153" s="243"/>
    </row>
    <row r="154" spans="1:5" ht="12" customHeight="1" thickBot="1" x14ac:dyDescent="0.25">
      <c r="A154" s="25" t="s">
        <v>15</v>
      </c>
      <c r="B154" s="59" t="s">
        <v>374</v>
      </c>
      <c r="C154" s="251">
        <f>+C129+C133+C140+C146+C152+C153</f>
        <v>248004380</v>
      </c>
      <c r="D154" s="263">
        <f>+D129+D133+D140+D146+D152+D153</f>
        <v>267398557</v>
      </c>
      <c r="E154" s="245">
        <f>+E129+E133+E140+E146+E152+E153</f>
        <v>243612689</v>
      </c>
    </row>
    <row r="155" spans="1:5" ht="15.2" customHeight="1" thickBot="1" x14ac:dyDescent="0.25">
      <c r="A155" s="210" t="s">
        <v>16</v>
      </c>
      <c r="B155" s="156" t="s">
        <v>373</v>
      </c>
      <c r="C155" s="251">
        <f>+C128+C154</f>
        <v>640342309</v>
      </c>
      <c r="D155" s="263">
        <f>+D128+D154</f>
        <v>802431389</v>
      </c>
      <c r="E155" s="245">
        <f>+E128+E154</f>
        <v>659538412</v>
      </c>
    </row>
    <row r="156" spans="1:5" ht="13.5" thickBot="1" x14ac:dyDescent="0.25">
      <c r="A156" s="159"/>
      <c r="B156" s="160"/>
      <c r="C156" s="627">
        <f>C90-C155</f>
        <v>0</v>
      </c>
      <c r="D156" s="627">
        <f>D90-D155</f>
        <v>0</v>
      </c>
      <c r="E156" s="721"/>
    </row>
    <row r="157" spans="1:5" ht="15.2" customHeight="1" thickBot="1" x14ac:dyDescent="0.25">
      <c r="A157" s="96" t="s">
        <v>484</v>
      </c>
      <c r="B157" s="97"/>
      <c r="C157" s="295">
        <v>15</v>
      </c>
      <c r="D157" s="295">
        <v>15</v>
      </c>
      <c r="E157" s="294">
        <v>16</v>
      </c>
    </row>
    <row r="158" spans="1:5" ht="14.45" customHeight="1" thickBot="1" x14ac:dyDescent="0.25">
      <c r="A158" s="96" t="s">
        <v>485</v>
      </c>
      <c r="B158" s="97"/>
      <c r="C158" s="295">
        <v>2</v>
      </c>
      <c r="D158" s="295">
        <v>2</v>
      </c>
      <c r="E158" s="294">
        <v>2</v>
      </c>
    </row>
  </sheetData>
  <sheetProtection formatCells="0"/>
  <mergeCells count="5">
    <mergeCell ref="A7:E7"/>
    <mergeCell ref="B2:D2"/>
    <mergeCell ref="B3:D3"/>
    <mergeCell ref="A92:E92"/>
    <mergeCell ref="B1:E1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30591-3671-41C8-9FEC-1B7418BA38BF}">
  <sheetPr>
    <tabColor theme="5"/>
  </sheetPr>
  <dimension ref="A1:K158"/>
  <sheetViews>
    <sheetView topLeftCell="A117" zoomScale="120" zoomScaleNormal="120" zoomScaleSheetLayoutView="100" workbookViewId="0">
      <selection activeCell="L159" sqref="L159"/>
    </sheetView>
  </sheetViews>
  <sheetFormatPr defaultRowHeight="12.75" x14ac:dyDescent="0.2"/>
  <cols>
    <col min="1" max="1" width="16.1640625" style="162" customWidth="1"/>
    <col min="2" max="2" width="62" style="163" customWidth="1"/>
    <col min="3" max="3" width="14.1640625" style="16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3">
      <c r="A1" s="327"/>
      <c r="B1" s="866" t="str">
        <f>CONCATENATE("6.1.1. melléklet ",Z_ALAPADATOK!A7," ",Z_ALAPADATOK!B7," ",Z_ALAPADATOK!C7," ",Z_ALAPADATOK!D7," ",Z_ALAPADATOK!E7," ",Z_ALAPADATOK!F7," ",Z_ALAPADATOK!G7," ",Z_ALAPADATOK!H7)</f>
        <v>6.1.1. melléklet a … / 2022. ( … ) önkormányzati rendelethez</v>
      </c>
      <c r="C1" s="867"/>
      <c r="D1" s="867"/>
      <c r="E1" s="867"/>
    </row>
    <row r="2" spans="1:5" s="51" customFormat="1" ht="21.2" customHeight="1" thickBot="1" x14ac:dyDescent="0.25">
      <c r="A2" s="336" t="s">
        <v>44</v>
      </c>
      <c r="B2" s="865" t="str">
        <f>CONCATENATE(Z_ALAPADATOK!A3)</f>
        <v>Sajószöged Községi Önkormányzat</v>
      </c>
      <c r="C2" s="865"/>
      <c r="D2" s="865"/>
      <c r="E2" s="337" t="s">
        <v>38</v>
      </c>
    </row>
    <row r="3" spans="1:5" s="51" customFormat="1" ht="24.75" thickBot="1" x14ac:dyDescent="0.25">
      <c r="A3" s="336" t="s">
        <v>134</v>
      </c>
      <c r="B3" s="865" t="s">
        <v>322</v>
      </c>
      <c r="C3" s="865"/>
      <c r="D3" s="865"/>
      <c r="E3" s="338" t="s">
        <v>42</v>
      </c>
    </row>
    <row r="4" spans="1:5" s="52" customFormat="1" ht="15.95" customHeight="1" thickBot="1" x14ac:dyDescent="0.3">
      <c r="A4" s="330"/>
      <c r="B4" s="330"/>
      <c r="C4" s="331"/>
      <c r="D4" s="332"/>
      <c r="E4" s="331" t="str">
        <f>'Z_6.1.sz.mell'!E4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CONCATENATE('Z_6.1.sz.mell'!E5)</f>
        <v>Teljesítés
2021. XII. 31.</v>
      </c>
    </row>
    <row r="6" spans="1:5" s="47" customFormat="1" ht="12.95" customHeight="1" thickBot="1" x14ac:dyDescent="0.25">
      <c r="A6" s="77" t="s">
        <v>385</v>
      </c>
      <c r="B6" s="78" t="s">
        <v>386</v>
      </c>
      <c r="C6" s="78" t="s">
        <v>387</v>
      </c>
      <c r="D6" s="289" t="s">
        <v>389</v>
      </c>
      <c r="E6" s="79" t="s">
        <v>388</v>
      </c>
    </row>
    <row r="7" spans="1:5" s="47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47" customFormat="1" ht="12" customHeight="1" thickBot="1" x14ac:dyDescent="0.25">
      <c r="A8" s="25" t="s">
        <v>6</v>
      </c>
      <c r="B8" s="19" t="s">
        <v>161</v>
      </c>
      <c r="C8" s="169">
        <f>'Z_6.1.sz.mell'!C8</f>
        <v>168879689</v>
      </c>
      <c r="D8" s="256">
        <f>'Z_6.1.sz.mell'!D8</f>
        <v>192219846</v>
      </c>
      <c r="E8" s="105">
        <f>'Z_6.1.sz.mell'!E8</f>
        <v>192219846</v>
      </c>
    </row>
    <row r="9" spans="1:5" s="53" customFormat="1" ht="12" customHeight="1" x14ac:dyDescent="0.2">
      <c r="A9" s="199" t="s">
        <v>63</v>
      </c>
      <c r="B9" s="182" t="s">
        <v>162</v>
      </c>
      <c r="C9" s="171">
        <f>'Z_6.1.sz.mell'!C9</f>
        <v>57626844</v>
      </c>
      <c r="D9" s="257">
        <f>'Z_6.1.sz.mell'!D9</f>
        <v>57872570</v>
      </c>
      <c r="E9" s="107">
        <f>'Z_6.1.sz.mell'!E9</f>
        <v>57872570</v>
      </c>
    </row>
    <row r="10" spans="1:5" s="54" customFormat="1" ht="12" customHeight="1" x14ac:dyDescent="0.2">
      <c r="A10" s="200" t="s">
        <v>64</v>
      </c>
      <c r="B10" s="183" t="s">
        <v>163</v>
      </c>
      <c r="C10" s="170">
        <f>'Z_6.1.sz.mell'!C10</f>
        <v>51930050</v>
      </c>
      <c r="D10" s="258">
        <f>'Z_6.1.sz.mell'!D10</f>
        <v>54207000</v>
      </c>
      <c r="E10" s="106">
        <f>'Z_6.1.sz.mell'!E10</f>
        <v>54207000</v>
      </c>
    </row>
    <row r="11" spans="1:5" s="54" customFormat="1" ht="12" customHeight="1" x14ac:dyDescent="0.2">
      <c r="A11" s="200" t="s">
        <v>65</v>
      </c>
      <c r="B11" s="183" t="s">
        <v>164</v>
      </c>
      <c r="C11" s="170">
        <f>'Z_6.1.sz.mell'!C11</f>
        <v>54251505</v>
      </c>
      <c r="D11" s="258">
        <f>'Z_6.1.sz.mell'!D11</f>
        <v>57091483</v>
      </c>
      <c r="E11" s="106">
        <f>'Z_6.1.sz.mell'!E11</f>
        <v>57091483</v>
      </c>
    </row>
    <row r="12" spans="1:5" s="54" customFormat="1" ht="12" customHeight="1" x14ac:dyDescent="0.2">
      <c r="A12" s="200" t="s">
        <v>66</v>
      </c>
      <c r="B12" s="183" t="s">
        <v>165</v>
      </c>
      <c r="C12" s="170">
        <f>'Z_6.1.sz.mell'!C12</f>
        <v>5071290</v>
      </c>
      <c r="D12" s="258">
        <f>'Z_6.1.sz.mell'!D12</f>
        <v>5155422</v>
      </c>
      <c r="E12" s="106">
        <f>'Z_6.1.sz.mell'!E12</f>
        <v>5155422</v>
      </c>
    </row>
    <row r="13" spans="1:5" s="54" customFormat="1" ht="12" customHeight="1" x14ac:dyDescent="0.2">
      <c r="A13" s="200" t="s">
        <v>96</v>
      </c>
      <c r="B13" s="183" t="s">
        <v>393</v>
      </c>
      <c r="C13" s="170">
        <f>'Z_6.1.sz.mell'!C13</f>
        <v>0</v>
      </c>
      <c r="D13" s="258">
        <f>'Z_6.1.sz.mell'!D13</f>
        <v>17711650</v>
      </c>
      <c r="E13" s="106">
        <f>'Z_6.1.sz.mell'!E13</f>
        <v>17711650</v>
      </c>
    </row>
    <row r="14" spans="1:5" s="53" customFormat="1" ht="12" customHeight="1" thickBot="1" x14ac:dyDescent="0.25">
      <c r="A14" s="201" t="s">
        <v>67</v>
      </c>
      <c r="B14" s="184" t="s">
        <v>334</v>
      </c>
      <c r="C14" s="170">
        <f>'Z_6.1.sz.mell'!C14</f>
        <v>0</v>
      </c>
      <c r="D14" s="258">
        <f>'Z_6.1.sz.mell'!D14</f>
        <v>181721</v>
      </c>
      <c r="E14" s="106">
        <f>'Z_6.1.sz.mell'!E14</f>
        <v>181721</v>
      </c>
    </row>
    <row r="15" spans="1:5" s="53" customFormat="1" ht="12" customHeight="1" thickBot="1" x14ac:dyDescent="0.25">
      <c r="A15" s="25" t="s">
        <v>7</v>
      </c>
      <c r="B15" s="112" t="s">
        <v>166</v>
      </c>
      <c r="C15" s="169">
        <f>'Z_6.1.sz.mell'!C15</f>
        <v>8356200</v>
      </c>
      <c r="D15" s="256">
        <f>'Z_6.1.sz.mell'!D15</f>
        <v>11374380</v>
      </c>
      <c r="E15" s="105">
        <f>'Z_6.1.sz.mell'!E15</f>
        <v>12365299</v>
      </c>
    </row>
    <row r="16" spans="1:5" s="53" customFormat="1" ht="12" customHeight="1" x14ac:dyDescent="0.2">
      <c r="A16" s="199" t="s">
        <v>69</v>
      </c>
      <c r="B16" s="182" t="s">
        <v>167</v>
      </c>
      <c r="C16" s="171">
        <f>'Z_6.1.sz.mell'!C16</f>
        <v>0</v>
      </c>
      <c r="D16" s="257">
        <f>'Z_6.1.sz.mell'!D16</f>
        <v>0</v>
      </c>
      <c r="E16" s="107">
        <f>'Z_6.1.sz.mell'!E16</f>
        <v>0</v>
      </c>
    </row>
    <row r="17" spans="1:5" s="53" customFormat="1" ht="12" customHeight="1" x14ac:dyDescent="0.2">
      <c r="A17" s="200" t="s">
        <v>70</v>
      </c>
      <c r="B17" s="183" t="s">
        <v>168</v>
      </c>
      <c r="C17" s="170">
        <f>'Z_6.1.sz.mell'!C17</f>
        <v>0</v>
      </c>
      <c r="D17" s="258">
        <f>'Z_6.1.sz.mell'!D17</f>
        <v>0</v>
      </c>
      <c r="E17" s="106">
        <f>'Z_6.1.sz.mell'!E17</f>
        <v>0</v>
      </c>
    </row>
    <row r="18" spans="1:5" s="53" customFormat="1" ht="12" customHeight="1" x14ac:dyDescent="0.2">
      <c r="A18" s="200" t="s">
        <v>71</v>
      </c>
      <c r="B18" s="183" t="s">
        <v>325</v>
      </c>
      <c r="C18" s="170">
        <f>'Z_6.1.sz.mell'!C18</f>
        <v>0</v>
      </c>
      <c r="D18" s="258">
        <f>'Z_6.1.sz.mell'!D18</f>
        <v>0</v>
      </c>
      <c r="E18" s="106">
        <f>'Z_6.1.sz.mell'!E18</f>
        <v>0</v>
      </c>
    </row>
    <row r="19" spans="1:5" s="53" customFormat="1" ht="12" customHeight="1" x14ac:dyDescent="0.2">
      <c r="A19" s="200" t="s">
        <v>72</v>
      </c>
      <c r="B19" s="183" t="s">
        <v>326</v>
      </c>
      <c r="C19" s="170">
        <f>'Z_6.1.sz.mell'!C19</f>
        <v>0</v>
      </c>
      <c r="D19" s="258">
        <f>'Z_6.1.sz.mell'!D19</f>
        <v>0</v>
      </c>
      <c r="E19" s="106">
        <f>'Z_6.1.sz.mell'!E19</f>
        <v>0</v>
      </c>
    </row>
    <row r="20" spans="1:5" s="53" customFormat="1" ht="12" customHeight="1" x14ac:dyDescent="0.2">
      <c r="A20" s="200" t="s">
        <v>73</v>
      </c>
      <c r="B20" s="183" t="s">
        <v>169</v>
      </c>
      <c r="C20" s="170">
        <f>'Z_6.1.sz.mell'!C20</f>
        <v>8356200</v>
      </c>
      <c r="D20" s="258">
        <f>'Z_6.1.sz.mell'!D20</f>
        <v>11374380</v>
      </c>
      <c r="E20" s="106">
        <f>'Z_6.1.sz.mell'!E20</f>
        <v>12365299</v>
      </c>
    </row>
    <row r="21" spans="1:5" s="54" customFormat="1" ht="12" customHeight="1" thickBot="1" x14ac:dyDescent="0.25">
      <c r="A21" s="201" t="s">
        <v>80</v>
      </c>
      <c r="B21" s="184" t="s">
        <v>170</v>
      </c>
      <c r="C21" s="172">
        <f>'Z_6.1.sz.mell'!C21</f>
        <v>0</v>
      </c>
      <c r="D21" s="259">
        <f>'Z_6.1.sz.mell'!D21</f>
        <v>0</v>
      </c>
      <c r="E21" s="108">
        <f>'Z_6.1.sz.mell'!E21</f>
        <v>0</v>
      </c>
    </row>
    <row r="22" spans="1:5" s="54" customFormat="1" ht="12" customHeight="1" thickBot="1" x14ac:dyDescent="0.25">
      <c r="A22" s="25" t="s">
        <v>8</v>
      </c>
      <c r="B22" s="19" t="s">
        <v>171</v>
      </c>
      <c r="C22" s="169">
        <f>'Z_6.1.sz.mell'!C22</f>
        <v>30000000</v>
      </c>
      <c r="D22" s="256">
        <f>'Z_6.1.sz.mell'!D22</f>
        <v>119719194</v>
      </c>
      <c r="E22" s="105">
        <f>'Z_6.1.sz.mell'!E22</f>
        <v>89719194</v>
      </c>
    </row>
    <row r="23" spans="1:5" s="54" customFormat="1" ht="12" customHeight="1" x14ac:dyDescent="0.2">
      <c r="A23" s="199" t="s">
        <v>52</v>
      </c>
      <c r="B23" s="182" t="s">
        <v>172</v>
      </c>
      <c r="C23" s="171">
        <f>'Z_6.1.sz.mell'!C23</f>
        <v>0</v>
      </c>
      <c r="D23" s="257">
        <f>'Z_6.1.sz.mell'!D23</f>
        <v>0</v>
      </c>
      <c r="E23" s="107">
        <f>'Z_6.1.sz.mell'!E23</f>
        <v>0</v>
      </c>
    </row>
    <row r="24" spans="1:5" s="53" customFormat="1" ht="12" customHeight="1" x14ac:dyDescent="0.2">
      <c r="A24" s="200" t="s">
        <v>53</v>
      </c>
      <c r="B24" s="183" t="s">
        <v>173</v>
      </c>
      <c r="C24" s="170">
        <f>'Z_6.1.sz.mell'!C24</f>
        <v>0</v>
      </c>
      <c r="D24" s="258">
        <f>'Z_6.1.sz.mell'!D24</f>
        <v>0</v>
      </c>
      <c r="E24" s="106">
        <f>'Z_6.1.sz.mell'!E24</f>
        <v>0</v>
      </c>
    </row>
    <row r="25" spans="1:5" s="54" customFormat="1" ht="12" customHeight="1" x14ac:dyDescent="0.2">
      <c r="A25" s="200" t="s">
        <v>54</v>
      </c>
      <c r="B25" s="183" t="s">
        <v>327</v>
      </c>
      <c r="C25" s="170">
        <f>'Z_6.1.sz.mell'!C25</f>
        <v>0</v>
      </c>
      <c r="D25" s="258">
        <f>'Z_6.1.sz.mell'!D25</f>
        <v>0</v>
      </c>
      <c r="E25" s="106">
        <f>'Z_6.1.sz.mell'!E25</f>
        <v>0</v>
      </c>
    </row>
    <row r="26" spans="1:5" s="54" customFormat="1" ht="12" customHeight="1" x14ac:dyDescent="0.2">
      <c r="A26" s="200" t="s">
        <v>55</v>
      </c>
      <c r="B26" s="183" t="s">
        <v>328</v>
      </c>
      <c r="C26" s="170">
        <f>'Z_6.1.sz.mell'!C26</f>
        <v>0</v>
      </c>
      <c r="D26" s="258">
        <f>'Z_6.1.sz.mell'!D26</f>
        <v>0</v>
      </c>
      <c r="E26" s="106">
        <f>'Z_6.1.sz.mell'!E26</f>
        <v>0</v>
      </c>
    </row>
    <row r="27" spans="1:5" s="54" customFormat="1" ht="12" customHeight="1" x14ac:dyDescent="0.2">
      <c r="A27" s="200" t="s">
        <v>109</v>
      </c>
      <c r="B27" s="183" t="s">
        <v>174</v>
      </c>
      <c r="C27" s="170">
        <f>'Z_6.1.sz.mell'!C27</f>
        <v>30000000</v>
      </c>
      <c r="D27" s="258">
        <f>'Z_6.1.sz.mell'!D27</f>
        <v>119719194</v>
      </c>
      <c r="E27" s="106">
        <f>'Z_6.1.sz.mell'!E27</f>
        <v>89719194</v>
      </c>
    </row>
    <row r="28" spans="1:5" s="54" customFormat="1" ht="12" customHeight="1" thickBot="1" x14ac:dyDescent="0.25">
      <c r="A28" s="201" t="s">
        <v>110</v>
      </c>
      <c r="B28" s="184" t="s">
        <v>175</v>
      </c>
      <c r="C28" s="172">
        <f>'Z_6.1.sz.mell'!C28</f>
        <v>30000000</v>
      </c>
      <c r="D28" s="259">
        <f>'Z_6.1.sz.mell'!D28</f>
        <v>119719194</v>
      </c>
      <c r="E28" s="108">
        <f>'Z_6.1.sz.mell'!E28</f>
        <v>89719194</v>
      </c>
    </row>
    <row r="29" spans="1:5" s="54" customFormat="1" ht="12" customHeight="1" thickBot="1" x14ac:dyDescent="0.25">
      <c r="A29" s="25" t="s">
        <v>111</v>
      </c>
      <c r="B29" s="19" t="s">
        <v>475</v>
      </c>
      <c r="C29" s="175">
        <f>'Z_6.1.sz.mell'!C29</f>
        <v>212900000</v>
      </c>
      <c r="D29" s="175">
        <f>'Z_6.1.sz.mell'!D29</f>
        <v>213000000</v>
      </c>
      <c r="E29" s="211">
        <f>'Z_6.1.sz.mell'!E29</f>
        <v>223886819</v>
      </c>
    </row>
    <row r="30" spans="1:5" s="54" customFormat="1" ht="12" customHeight="1" x14ac:dyDescent="0.2">
      <c r="A30" s="199" t="s">
        <v>176</v>
      </c>
      <c r="B30" s="182" t="str">
        <f>'Z_1.1.sz.mell.'!B33</f>
        <v>Építményadó</v>
      </c>
      <c r="C30" s="171">
        <f>'Z_6.1.sz.mell'!C30</f>
        <v>3100000</v>
      </c>
      <c r="D30" s="171">
        <f>'Z_6.1.sz.mell'!D30</f>
        <v>3100000</v>
      </c>
      <c r="E30" s="107">
        <f>'Z_6.1.sz.mell'!E30</f>
        <v>3008321</v>
      </c>
    </row>
    <row r="31" spans="1:5" s="54" customFormat="1" ht="12" customHeight="1" x14ac:dyDescent="0.2">
      <c r="A31" s="200" t="s">
        <v>177</v>
      </c>
      <c r="B31" s="182" t="str">
        <f>'Z_1.1.sz.mell.'!B34</f>
        <v xml:space="preserve">Idegenforgalmi adó </v>
      </c>
      <c r="C31" s="170">
        <f>'Z_6.1.sz.mell'!C31</f>
        <v>0</v>
      </c>
      <c r="D31" s="170">
        <f>'Z_6.1.sz.mell'!D31</f>
        <v>0</v>
      </c>
      <c r="E31" s="106">
        <f>'Z_6.1.sz.mell'!E31</f>
        <v>0</v>
      </c>
    </row>
    <row r="32" spans="1:5" s="54" customFormat="1" ht="12" customHeight="1" x14ac:dyDescent="0.2">
      <c r="A32" s="200" t="s">
        <v>178</v>
      </c>
      <c r="B32" s="182" t="str">
        <f>'Z_1.1.sz.mell.'!B35</f>
        <v>Iparűzési adó</v>
      </c>
      <c r="C32" s="170">
        <f>'Z_6.1.sz.mell'!C32</f>
        <v>110000000</v>
      </c>
      <c r="D32" s="170">
        <f>'Z_6.1.sz.mell'!D32</f>
        <v>110000000</v>
      </c>
      <c r="E32" s="106">
        <f>'Z_6.1.sz.mell'!E32</f>
        <v>119557187</v>
      </c>
    </row>
    <row r="33" spans="1:5" s="54" customFormat="1" ht="12" customHeight="1" x14ac:dyDescent="0.2">
      <c r="A33" s="200" t="s">
        <v>179</v>
      </c>
      <c r="B33" s="182" t="str">
        <f>'Z_1.1.sz.mell.'!B36</f>
        <v>Talajterhelési díj</v>
      </c>
      <c r="C33" s="170">
        <f>'Z_6.1.sz.mell'!C33</f>
        <v>350000</v>
      </c>
      <c r="D33" s="170">
        <f>'Z_6.1.sz.mell'!D33</f>
        <v>350000</v>
      </c>
      <c r="E33" s="106">
        <f>'Z_6.1.sz.mell'!E33</f>
        <v>1067520</v>
      </c>
    </row>
    <row r="34" spans="1:5" s="54" customFormat="1" ht="12" customHeight="1" x14ac:dyDescent="0.2">
      <c r="A34" s="200" t="s">
        <v>479</v>
      </c>
      <c r="B34" s="182" t="str">
        <f>'Z_1.1.sz.mell.'!B37</f>
        <v>Gépjárműadó</v>
      </c>
      <c r="C34" s="170">
        <f>'Z_6.1.sz.mell'!C34</f>
        <v>0</v>
      </c>
      <c r="D34" s="170">
        <f>'Z_6.1.sz.mell'!D34</f>
        <v>0</v>
      </c>
      <c r="E34" s="106">
        <f>'Z_6.1.sz.mell'!E34</f>
        <v>0</v>
      </c>
    </row>
    <row r="35" spans="1:5" s="54" customFormat="1" ht="12" customHeight="1" x14ac:dyDescent="0.2">
      <c r="A35" s="200" t="s">
        <v>480</v>
      </c>
      <c r="B35" s="182" t="str">
        <f>'Z_1.1.sz.mell.'!B38</f>
        <v>Telekadó</v>
      </c>
      <c r="C35" s="170">
        <f>'Z_6.1.sz.mell'!C35</f>
        <v>99000000</v>
      </c>
      <c r="D35" s="170">
        <f>'Z_6.1.sz.mell'!D35</f>
        <v>99000000</v>
      </c>
      <c r="E35" s="106">
        <f>'Z_6.1.sz.mell'!E35</f>
        <v>99759980</v>
      </c>
    </row>
    <row r="36" spans="1:5" s="54" customFormat="1" ht="12" customHeight="1" thickBot="1" x14ac:dyDescent="0.25">
      <c r="A36" s="201" t="s">
        <v>481</v>
      </c>
      <c r="B36" s="182" t="str">
        <f>'Z_1.1.sz.mell.'!B39</f>
        <v>Egyéb közhatalmi bevételek</v>
      </c>
      <c r="C36" s="172">
        <f>'Z_6.1.sz.mell'!C36</f>
        <v>450000</v>
      </c>
      <c r="D36" s="172">
        <f>'Z_6.1.sz.mell'!D36</f>
        <v>550000</v>
      </c>
      <c r="E36" s="108">
        <f>'Z_6.1.sz.mell'!E36</f>
        <v>493811</v>
      </c>
    </row>
    <row r="37" spans="1:5" s="54" customFormat="1" ht="12" customHeight="1" thickBot="1" x14ac:dyDescent="0.25">
      <c r="A37" s="25" t="s">
        <v>10</v>
      </c>
      <c r="B37" s="19" t="s">
        <v>335</v>
      </c>
      <c r="C37" s="169">
        <f>'Z_6.1.sz.mell'!C37</f>
        <v>37149491</v>
      </c>
      <c r="D37" s="256">
        <f>'Z_6.1.sz.mell'!D37</f>
        <v>74776978</v>
      </c>
      <c r="E37" s="105">
        <f>'Z_6.1.sz.mell'!E37</f>
        <v>66865534</v>
      </c>
    </row>
    <row r="38" spans="1:5" s="54" customFormat="1" ht="12" customHeight="1" x14ac:dyDescent="0.2">
      <c r="A38" s="199" t="s">
        <v>56</v>
      </c>
      <c r="B38" s="182" t="s">
        <v>183</v>
      </c>
      <c r="C38" s="171">
        <f>'Z_6.1.sz.mell'!C38</f>
        <v>0</v>
      </c>
      <c r="D38" s="257">
        <f>'Z_6.1.sz.mell'!D38</f>
        <v>0</v>
      </c>
      <c r="E38" s="107">
        <f>'Z_6.1.sz.mell'!E38</f>
        <v>0</v>
      </c>
    </row>
    <row r="39" spans="1:5" s="54" customFormat="1" ht="12" customHeight="1" x14ac:dyDescent="0.2">
      <c r="A39" s="200" t="s">
        <v>57</v>
      </c>
      <c r="B39" s="183" t="s">
        <v>184</v>
      </c>
      <c r="C39" s="170">
        <f>'Z_6.1.sz.mell'!C39</f>
        <v>2000000</v>
      </c>
      <c r="D39" s="258">
        <f>'Z_6.1.sz.mell'!D39</f>
        <v>3254089</v>
      </c>
      <c r="E39" s="106">
        <f>'Z_6.1.sz.mell'!E39</f>
        <v>2583413</v>
      </c>
    </row>
    <row r="40" spans="1:5" s="54" customFormat="1" ht="12" customHeight="1" x14ac:dyDescent="0.2">
      <c r="A40" s="200" t="s">
        <v>58</v>
      </c>
      <c r="B40" s="183" t="s">
        <v>185</v>
      </c>
      <c r="C40" s="170">
        <f>'Z_6.1.sz.mell'!C40</f>
        <v>1500000</v>
      </c>
      <c r="D40" s="258">
        <f>'Z_6.1.sz.mell'!D40</f>
        <v>2854860</v>
      </c>
      <c r="E40" s="106">
        <f>'Z_6.1.sz.mell'!E40</f>
        <v>2801657</v>
      </c>
    </row>
    <row r="41" spans="1:5" s="54" customFormat="1" ht="12" customHeight="1" x14ac:dyDescent="0.2">
      <c r="A41" s="200" t="s">
        <v>113</v>
      </c>
      <c r="B41" s="183" t="s">
        <v>186</v>
      </c>
      <c r="C41" s="170">
        <f>'Z_6.1.sz.mell'!C41</f>
        <v>14000000</v>
      </c>
      <c r="D41" s="258">
        <f>'Z_6.1.sz.mell'!D41</f>
        <v>36874754</v>
      </c>
      <c r="E41" s="106">
        <f>'Z_6.1.sz.mell'!E41</f>
        <v>33074197</v>
      </c>
    </row>
    <row r="42" spans="1:5" s="54" customFormat="1" ht="12" customHeight="1" x14ac:dyDescent="0.2">
      <c r="A42" s="200" t="s">
        <v>114</v>
      </c>
      <c r="B42" s="183" t="s">
        <v>187</v>
      </c>
      <c r="C42" s="170">
        <f>'Z_6.1.sz.mell'!C42</f>
        <v>11911502</v>
      </c>
      <c r="D42" s="258">
        <f>'Z_6.1.sz.mell'!D42</f>
        <v>13720021</v>
      </c>
      <c r="E42" s="106">
        <f>'Z_6.1.sz.mell'!E42</f>
        <v>11876321</v>
      </c>
    </row>
    <row r="43" spans="1:5" s="54" customFormat="1" ht="12" customHeight="1" x14ac:dyDescent="0.2">
      <c r="A43" s="200" t="s">
        <v>115</v>
      </c>
      <c r="B43" s="183" t="s">
        <v>188</v>
      </c>
      <c r="C43" s="170">
        <f>'Z_6.1.sz.mell'!C43</f>
        <v>7737989</v>
      </c>
      <c r="D43" s="258">
        <f>'Z_6.1.sz.mell'!D43</f>
        <v>15251481</v>
      </c>
      <c r="E43" s="106">
        <f>'Z_6.1.sz.mell'!E43</f>
        <v>13708512</v>
      </c>
    </row>
    <row r="44" spans="1:5" s="54" customFormat="1" ht="12" customHeight="1" x14ac:dyDescent="0.2">
      <c r="A44" s="200" t="s">
        <v>116</v>
      </c>
      <c r="B44" s="183" t="s">
        <v>189</v>
      </c>
      <c r="C44" s="170">
        <f>'Z_6.1.sz.mell'!C44</f>
        <v>0</v>
      </c>
      <c r="D44" s="258">
        <f>'Z_6.1.sz.mell'!D44</f>
        <v>2401000</v>
      </c>
      <c r="E44" s="106">
        <f>'Z_6.1.sz.mell'!E44</f>
        <v>2401000</v>
      </c>
    </row>
    <row r="45" spans="1:5" s="54" customFormat="1" ht="12" customHeight="1" x14ac:dyDescent="0.2">
      <c r="A45" s="200" t="s">
        <v>117</v>
      </c>
      <c r="B45" s="183" t="s">
        <v>482</v>
      </c>
      <c r="C45" s="170">
        <f>'Z_6.1.sz.mell'!C45</f>
        <v>0</v>
      </c>
      <c r="D45" s="258">
        <f>'Z_6.1.sz.mell'!D45</f>
        <v>0</v>
      </c>
      <c r="E45" s="106">
        <f>'Z_6.1.sz.mell'!E45</f>
        <v>0</v>
      </c>
    </row>
    <row r="46" spans="1:5" s="54" customFormat="1" ht="12" customHeight="1" x14ac:dyDescent="0.2">
      <c r="A46" s="200" t="s">
        <v>181</v>
      </c>
      <c r="B46" s="183" t="s">
        <v>191</v>
      </c>
      <c r="C46" s="173">
        <f>'Z_6.1.sz.mell'!C46</f>
        <v>0</v>
      </c>
      <c r="D46" s="290">
        <f>'Z_6.1.sz.mell'!D46</f>
        <v>42</v>
      </c>
      <c r="E46" s="109">
        <f>'Z_6.1.sz.mell'!E46</f>
        <v>61</v>
      </c>
    </row>
    <row r="47" spans="1:5" s="54" customFormat="1" ht="12" customHeight="1" x14ac:dyDescent="0.2">
      <c r="A47" s="201" t="s">
        <v>182</v>
      </c>
      <c r="B47" s="184" t="s">
        <v>337</v>
      </c>
      <c r="C47" s="174">
        <f>'Z_6.1.sz.mell'!C47</f>
        <v>0</v>
      </c>
      <c r="D47" s="291">
        <f>'Z_6.1.sz.mell'!D47</f>
        <v>350000</v>
      </c>
      <c r="E47" s="110">
        <f>'Z_6.1.sz.mell'!E47</f>
        <v>350000</v>
      </c>
    </row>
    <row r="48" spans="1:5" s="54" customFormat="1" ht="12" customHeight="1" thickBot="1" x14ac:dyDescent="0.25">
      <c r="A48" s="201" t="s">
        <v>336</v>
      </c>
      <c r="B48" s="184" t="s">
        <v>192</v>
      </c>
      <c r="C48" s="174">
        <f>'Z_6.1.sz.mell'!C48</f>
        <v>0</v>
      </c>
      <c r="D48" s="291">
        <f>'Z_6.1.sz.mell'!D48</f>
        <v>70731</v>
      </c>
      <c r="E48" s="110">
        <f>'Z_6.1.sz.mell'!E48</f>
        <v>70373</v>
      </c>
    </row>
    <row r="49" spans="1:5" s="54" customFormat="1" ht="12" customHeight="1" thickBot="1" x14ac:dyDescent="0.25">
      <c r="A49" s="25" t="s">
        <v>11</v>
      </c>
      <c r="B49" s="19" t="s">
        <v>193</v>
      </c>
      <c r="C49" s="169">
        <f>'Z_6.1.sz.mell'!C49</f>
        <v>1267716</v>
      </c>
      <c r="D49" s="256">
        <f>'Z_6.1.sz.mell'!D49</f>
        <v>26385826</v>
      </c>
      <c r="E49" s="105">
        <f>'Z_6.1.sz.mell'!E49</f>
        <v>11385826</v>
      </c>
    </row>
    <row r="50" spans="1:5" s="54" customFormat="1" ht="12" customHeight="1" x14ac:dyDescent="0.2">
      <c r="A50" s="199" t="s">
        <v>59</v>
      </c>
      <c r="B50" s="182" t="s">
        <v>197</v>
      </c>
      <c r="C50" s="222">
        <f>'Z_6.1.sz.mell'!C50</f>
        <v>0</v>
      </c>
      <c r="D50" s="292">
        <f>'Z_6.1.sz.mell'!D50</f>
        <v>0</v>
      </c>
      <c r="E50" s="111">
        <f>'Z_6.1.sz.mell'!E50</f>
        <v>0</v>
      </c>
    </row>
    <row r="51" spans="1:5" s="54" customFormat="1" ht="12" customHeight="1" x14ac:dyDescent="0.2">
      <c r="A51" s="200" t="s">
        <v>60</v>
      </c>
      <c r="B51" s="183" t="s">
        <v>198</v>
      </c>
      <c r="C51" s="173">
        <f>'Z_6.1.sz.mell'!C51</f>
        <v>1267716</v>
      </c>
      <c r="D51" s="290">
        <f>'Z_6.1.sz.mell'!D51</f>
        <v>6385826</v>
      </c>
      <c r="E51" s="109">
        <f>'Z_6.1.sz.mell'!E51</f>
        <v>6385826</v>
      </c>
    </row>
    <row r="52" spans="1:5" s="54" customFormat="1" ht="12" customHeight="1" x14ac:dyDescent="0.2">
      <c r="A52" s="200" t="s">
        <v>194</v>
      </c>
      <c r="B52" s="183" t="s">
        <v>199</v>
      </c>
      <c r="C52" s="173">
        <f>'Z_6.1.sz.mell'!C52</f>
        <v>0</v>
      </c>
      <c r="D52" s="290">
        <f>'Z_6.1.sz.mell'!D52</f>
        <v>0</v>
      </c>
      <c r="E52" s="109">
        <f>'Z_6.1.sz.mell'!E52</f>
        <v>0</v>
      </c>
    </row>
    <row r="53" spans="1:5" s="54" customFormat="1" ht="12" customHeight="1" x14ac:dyDescent="0.2">
      <c r="A53" s="200" t="s">
        <v>195</v>
      </c>
      <c r="B53" s="183" t="s">
        <v>200</v>
      </c>
      <c r="C53" s="173">
        <f>'Z_6.1.sz.mell'!C53</f>
        <v>0</v>
      </c>
      <c r="D53" s="290">
        <f>'Z_6.1.sz.mell'!D53</f>
        <v>20000000</v>
      </c>
      <c r="E53" s="109">
        <f>'Z_6.1.sz.mell'!E53</f>
        <v>5000000</v>
      </c>
    </row>
    <row r="54" spans="1:5" s="54" customFormat="1" ht="12" customHeight="1" thickBot="1" x14ac:dyDescent="0.25">
      <c r="A54" s="201" t="s">
        <v>196</v>
      </c>
      <c r="B54" s="184" t="s">
        <v>201</v>
      </c>
      <c r="C54" s="174">
        <f>'Z_6.1.sz.mell'!C54</f>
        <v>0</v>
      </c>
      <c r="D54" s="291">
        <f>'Z_6.1.sz.mell'!D54</f>
        <v>0</v>
      </c>
      <c r="E54" s="110">
        <f>'Z_6.1.sz.mell'!E54</f>
        <v>0</v>
      </c>
    </row>
    <row r="55" spans="1:5" s="54" customFormat="1" ht="12" customHeight="1" thickBot="1" x14ac:dyDescent="0.25">
      <c r="A55" s="25" t="s">
        <v>118</v>
      </c>
      <c r="B55" s="19" t="s">
        <v>202</v>
      </c>
      <c r="C55" s="169">
        <f>'Z_6.1.sz.mell'!C55</f>
        <v>0</v>
      </c>
      <c r="D55" s="256">
        <f>'Z_6.1.sz.mell'!D55</f>
        <v>0</v>
      </c>
      <c r="E55" s="105">
        <f>'Z_6.1.sz.mell'!E55</f>
        <v>0</v>
      </c>
    </row>
    <row r="56" spans="1:5" s="54" customFormat="1" ht="12" customHeight="1" x14ac:dyDescent="0.2">
      <c r="A56" s="199" t="s">
        <v>61</v>
      </c>
      <c r="B56" s="182" t="s">
        <v>203</v>
      </c>
      <c r="C56" s="171">
        <f>'Z_6.1.sz.mell'!C56</f>
        <v>0</v>
      </c>
      <c r="D56" s="257">
        <f>'Z_6.1.sz.mell'!D56</f>
        <v>0</v>
      </c>
      <c r="E56" s="107">
        <f>'Z_6.1.sz.mell'!E56</f>
        <v>0</v>
      </c>
    </row>
    <row r="57" spans="1:5" s="54" customFormat="1" ht="12" customHeight="1" x14ac:dyDescent="0.2">
      <c r="A57" s="200" t="s">
        <v>62</v>
      </c>
      <c r="B57" s="183" t="s">
        <v>329</v>
      </c>
      <c r="C57" s="170">
        <f>'Z_6.1.sz.mell'!C57</f>
        <v>0</v>
      </c>
      <c r="D57" s="258">
        <f>'Z_6.1.sz.mell'!D57</f>
        <v>0</v>
      </c>
      <c r="E57" s="106">
        <f>'Z_6.1.sz.mell'!E57</f>
        <v>0</v>
      </c>
    </row>
    <row r="58" spans="1:5" s="54" customFormat="1" ht="12" customHeight="1" x14ac:dyDescent="0.2">
      <c r="A58" s="200" t="s">
        <v>206</v>
      </c>
      <c r="B58" s="183" t="s">
        <v>204</v>
      </c>
      <c r="C58" s="170">
        <f>'Z_6.1.sz.mell'!C58</f>
        <v>0</v>
      </c>
      <c r="D58" s="258">
        <f>'Z_6.1.sz.mell'!D58</f>
        <v>0</v>
      </c>
      <c r="E58" s="106">
        <f>'Z_6.1.sz.mell'!E58</f>
        <v>0</v>
      </c>
    </row>
    <row r="59" spans="1:5" s="54" customFormat="1" ht="12" customHeight="1" thickBot="1" x14ac:dyDescent="0.25">
      <c r="A59" s="201" t="s">
        <v>207</v>
      </c>
      <c r="B59" s="184" t="s">
        <v>205</v>
      </c>
      <c r="C59" s="172">
        <f>'Z_6.1.sz.mell'!C59</f>
        <v>0</v>
      </c>
      <c r="D59" s="259">
        <f>'Z_6.1.sz.mell'!D59</f>
        <v>0</v>
      </c>
      <c r="E59" s="108">
        <f>'Z_6.1.sz.mell'!E59</f>
        <v>0</v>
      </c>
    </row>
    <row r="60" spans="1:5" s="54" customFormat="1" ht="12" customHeight="1" thickBot="1" x14ac:dyDescent="0.25">
      <c r="A60" s="25" t="s">
        <v>13</v>
      </c>
      <c r="B60" s="112" t="s">
        <v>208</v>
      </c>
      <c r="C60" s="169">
        <f>'Z_6.1.sz.mell'!C60</f>
        <v>1649641</v>
      </c>
      <c r="D60" s="256">
        <f>'Z_6.1.sz.mell'!D60</f>
        <v>1923842</v>
      </c>
      <c r="E60" s="105">
        <f>'Z_6.1.sz.mell'!E60</f>
        <v>2042980</v>
      </c>
    </row>
    <row r="61" spans="1:5" s="54" customFormat="1" ht="12" customHeight="1" x14ac:dyDescent="0.2">
      <c r="A61" s="199" t="s">
        <v>119</v>
      </c>
      <c r="B61" s="182" t="s">
        <v>210</v>
      </c>
      <c r="C61" s="173">
        <f>'Z_6.1.sz.mell'!C61</f>
        <v>0</v>
      </c>
      <c r="D61" s="290">
        <f>'Z_6.1.sz.mell'!D61</f>
        <v>0</v>
      </c>
      <c r="E61" s="109">
        <f>'Z_6.1.sz.mell'!E61</f>
        <v>0</v>
      </c>
    </row>
    <row r="62" spans="1:5" s="54" customFormat="1" ht="12" customHeight="1" x14ac:dyDescent="0.2">
      <c r="A62" s="200" t="s">
        <v>120</v>
      </c>
      <c r="B62" s="183" t="s">
        <v>330</v>
      </c>
      <c r="C62" s="173">
        <f>'Z_6.1.sz.mell'!C62</f>
        <v>1649641</v>
      </c>
      <c r="D62" s="290">
        <f>'Z_6.1.sz.mell'!D62</f>
        <v>1923842</v>
      </c>
      <c r="E62" s="109">
        <f>'Z_6.1.sz.mell'!E62</f>
        <v>2042980</v>
      </c>
    </row>
    <row r="63" spans="1:5" s="54" customFormat="1" ht="12" customHeight="1" x14ac:dyDescent="0.2">
      <c r="A63" s="200" t="s">
        <v>143</v>
      </c>
      <c r="B63" s="183" t="s">
        <v>211</v>
      </c>
      <c r="C63" s="173">
        <f>'Z_6.1.sz.mell'!C63</f>
        <v>0</v>
      </c>
      <c r="D63" s="290">
        <f>'Z_6.1.sz.mell'!D63</f>
        <v>0</v>
      </c>
      <c r="E63" s="109">
        <f>'Z_6.1.sz.mell'!E63</f>
        <v>0</v>
      </c>
    </row>
    <row r="64" spans="1:5" s="54" customFormat="1" ht="12" customHeight="1" thickBot="1" x14ac:dyDescent="0.25">
      <c r="A64" s="201" t="s">
        <v>209</v>
      </c>
      <c r="B64" s="184" t="s">
        <v>212</v>
      </c>
      <c r="C64" s="173">
        <f>'Z_6.1.sz.mell'!C64</f>
        <v>0</v>
      </c>
      <c r="D64" s="290">
        <f>'Z_6.1.sz.mell'!D64</f>
        <v>0</v>
      </c>
      <c r="E64" s="109">
        <f>'Z_6.1.sz.mell'!E64</f>
        <v>0</v>
      </c>
    </row>
    <row r="65" spans="1:5" s="54" customFormat="1" ht="12" customHeight="1" thickBot="1" x14ac:dyDescent="0.25">
      <c r="A65" s="25" t="s">
        <v>14</v>
      </c>
      <c r="B65" s="19" t="s">
        <v>213</v>
      </c>
      <c r="C65" s="175">
        <f>'Z_6.1.sz.mell'!C65</f>
        <v>460202737</v>
      </c>
      <c r="D65" s="260">
        <f>'Z_6.1.sz.mell'!D65</f>
        <v>639400066</v>
      </c>
      <c r="E65" s="211">
        <f>'Z_6.1.sz.mell'!E65</f>
        <v>598485498</v>
      </c>
    </row>
    <row r="66" spans="1:5" s="54" customFormat="1" ht="12" customHeight="1" thickBot="1" x14ac:dyDescent="0.2">
      <c r="A66" s="202" t="s">
        <v>298</v>
      </c>
      <c r="B66" s="112" t="s">
        <v>215</v>
      </c>
      <c r="C66" s="169">
        <f>'Z_6.1.sz.mell'!C66</f>
        <v>0</v>
      </c>
      <c r="D66" s="256">
        <f>'Z_6.1.sz.mell'!D66</f>
        <v>0</v>
      </c>
      <c r="E66" s="105">
        <f>'Z_6.1.sz.mell'!E66</f>
        <v>0</v>
      </c>
    </row>
    <row r="67" spans="1:5" s="54" customFormat="1" ht="12" customHeight="1" x14ac:dyDescent="0.2">
      <c r="A67" s="199" t="s">
        <v>243</v>
      </c>
      <c r="B67" s="182" t="s">
        <v>216</v>
      </c>
      <c r="C67" s="173">
        <f>'Z_6.1.sz.mell'!C67</f>
        <v>0</v>
      </c>
      <c r="D67" s="290">
        <f>'Z_6.1.sz.mell'!D67</f>
        <v>0</v>
      </c>
      <c r="E67" s="109">
        <f>'Z_6.1.sz.mell'!E67</f>
        <v>0</v>
      </c>
    </row>
    <row r="68" spans="1:5" s="54" customFormat="1" ht="12" customHeight="1" x14ac:dyDescent="0.2">
      <c r="A68" s="200" t="s">
        <v>252</v>
      </c>
      <c r="B68" s="183" t="s">
        <v>217</v>
      </c>
      <c r="C68" s="173">
        <f>'Z_6.1.sz.mell'!C68</f>
        <v>0</v>
      </c>
      <c r="D68" s="290">
        <f>'Z_6.1.sz.mell'!D68</f>
        <v>0</v>
      </c>
      <c r="E68" s="109">
        <f>'Z_6.1.sz.mell'!E68</f>
        <v>0</v>
      </c>
    </row>
    <row r="69" spans="1:5" s="54" customFormat="1" ht="12" customHeight="1" thickBot="1" x14ac:dyDescent="0.25">
      <c r="A69" s="209" t="s">
        <v>253</v>
      </c>
      <c r="B69" s="324" t="s">
        <v>218</v>
      </c>
      <c r="C69" s="325">
        <f>'Z_6.1.sz.mell'!C69</f>
        <v>0</v>
      </c>
      <c r="D69" s="293">
        <f>'Z_6.1.sz.mell'!D69</f>
        <v>0</v>
      </c>
      <c r="E69" s="326">
        <f>'Z_6.1.sz.mell'!E69</f>
        <v>0</v>
      </c>
    </row>
    <row r="70" spans="1:5" s="54" customFormat="1" ht="12" customHeight="1" thickBot="1" x14ac:dyDescent="0.2">
      <c r="A70" s="202" t="s">
        <v>219</v>
      </c>
      <c r="B70" s="112" t="s">
        <v>220</v>
      </c>
      <c r="C70" s="169">
        <f>'Z_6.1.sz.mell'!C70</f>
        <v>20000000</v>
      </c>
      <c r="D70" s="169">
        <f>'Z_6.1.sz.mell'!D70</f>
        <v>0</v>
      </c>
      <c r="E70" s="105">
        <f>'Z_6.1.sz.mell'!E70</f>
        <v>0</v>
      </c>
    </row>
    <row r="71" spans="1:5" s="54" customFormat="1" ht="12" customHeight="1" x14ac:dyDescent="0.2">
      <c r="A71" s="199" t="s">
        <v>97</v>
      </c>
      <c r="B71" s="311" t="s">
        <v>221</v>
      </c>
      <c r="C71" s="173">
        <f>'Z_6.1.sz.mell'!C71</f>
        <v>20000000</v>
      </c>
      <c r="D71" s="173">
        <f>'Z_6.1.sz.mell'!D71</f>
        <v>0</v>
      </c>
      <c r="E71" s="109">
        <f>'Z_6.1.sz.mell'!E71</f>
        <v>0</v>
      </c>
    </row>
    <row r="72" spans="1:5" s="54" customFormat="1" ht="12" customHeight="1" x14ac:dyDescent="0.2">
      <c r="A72" s="200" t="s">
        <v>98</v>
      </c>
      <c r="B72" s="311" t="s">
        <v>489</v>
      </c>
      <c r="C72" s="173">
        <f>'Z_6.1.sz.mell'!C72</f>
        <v>0</v>
      </c>
      <c r="D72" s="173">
        <f>'Z_6.1.sz.mell'!D72</f>
        <v>0</v>
      </c>
      <c r="E72" s="109">
        <f>'Z_6.1.sz.mell'!E72</f>
        <v>0</v>
      </c>
    </row>
    <row r="73" spans="1:5" s="54" customFormat="1" ht="12" customHeight="1" x14ac:dyDescent="0.2">
      <c r="A73" s="200" t="s">
        <v>244</v>
      </c>
      <c r="B73" s="311" t="s">
        <v>222</v>
      </c>
      <c r="C73" s="173">
        <f>'Z_6.1.sz.mell'!C73</f>
        <v>0</v>
      </c>
      <c r="D73" s="173">
        <f>'Z_6.1.sz.mell'!D73</f>
        <v>0</v>
      </c>
      <c r="E73" s="109">
        <f>'Z_6.1.sz.mell'!E73</f>
        <v>0</v>
      </c>
    </row>
    <row r="74" spans="1:5" s="54" customFormat="1" ht="12" customHeight="1" thickBot="1" x14ac:dyDescent="0.25">
      <c r="A74" s="201" t="s">
        <v>245</v>
      </c>
      <c r="B74" s="312" t="s">
        <v>490</v>
      </c>
      <c r="C74" s="173">
        <f>'Z_6.1.sz.mell'!C74</f>
        <v>0</v>
      </c>
      <c r="D74" s="173">
        <f>'Z_6.1.sz.mell'!D74</f>
        <v>0</v>
      </c>
      <c r="E74" s="109">
        <f>'Z_6.1.sz.mell'!E74</f>
        <v>0</v>
      </c>
    </row>
    <row r="75" spans="1:5" s="54" customFormat="1" ht="12" customHeight="1" thickBot="1" x14ac:dyDescent="0.2">
      <c r="A75" s="202" t="s">
        <v>223</v>
      </c>
      <c r="B75" s="112" t="s">
        <v>224</v>
      </c>
      <c r="C75" s="169">
        <f>'Z_6.1.sz.mell'!C75</f>
        <v>160139572</v>
      </c>
      <c r="D75" s="169">
        <f>'Z_6.1.sz.mell'!D75</f>
        <v>162476649</v>
      </c>
      <c r="E75" s="105">
        <f>'Z_6.1.sz.mell'!E75</f>
        <v>162476649</v>
      </c>
    </row>
    <row r="76" spans="1:5" s="54" customFormat="1" ht="12" customHeight="1" x14ac:dyDescent="0.2">
      <c r="A76" s="199" t="s">
        <v>246</v>
      </c>
      <c r="B76" s="182" t="s">
        <v>225</v>
      </c>
      <c r="C76" s="173">
        <f>'Z_6.1.sz.mell'!C76</f>
        <v>160139572</v>
      </c>
      <c r="D76" s="173">
        <f>'Z_6.1.sz.mell'!D76</f>
        <v>162476649</v>
      </c>
      <c r="E76" s="109">
        <f>'Z_6.1.sz.mell'!E76</f>
        <v>162476649</v>
      </c>
    </row>
    <row r="77" spans="1:5" s="54" customFormat="1" ht="12" customHeight="1" thickBot="1" x14ac:dyDescent="0.25">
      <c r="A77" s="201" t="s">
        <v>247</v>
      </c>
      <c r="B77" s="184" t="s">
        <v>226</v>
      </c>
      <c r="C77" s="173">
        <f>'Z_6.1.sz.mell'!C77</f>
        <v>0</v>
      </c>
      <c r="D77" s="173">
        <f>'Z_6.1.sz.mell'!D77</f>
        <v>0</v>
      </c>
      <c r="E77" s="109">
        <f>'Z_6.1.sz.mell'!E77</f>
        <v>0</v>
      </c>
    </row>
    <row r="78" spans="1:5" s="53" customFormat="1" ht="12" customHeight="1" thickBot="1" x14ac:dyDescent="0.2">
      <c r="A78" s="202" t="s">
        <v>227</v>
      </c>
      <c r="B78" s="112" t="s">
        <v>228</v>
      </c>
      <c r="C78" s="169">
        <f>'Z_6.1.sz.mell'!C78</f>
        <v>0</v>
      </c>
      <c r="D78" s="169">
        <f>'Z_6.1.sz.mell'!D78</f>
        <v>554674</v>
      </c>
      <c r="E78" s="105">
        <f>'Z_6.1.sz.mell'!E78</f>
        <v>7640915</v>
      </c>
    </row>
    <row r="79" spans="1:5" s="54" customFormat="1" ht="12" customHeight="1" x14ac:dyDescent="0.2">
      <c r="A79" s="199" t="s">
        <v>248</v>
      </c>
      <c r="B79" s="182" t="s">
        <v>229</v>
      </c>
      <c r="C79" s="173">
        <f>'Z_6.1.sz.mell'!C79</f>
        <v>0</v>
      </c>
      <c r="D79" s="173">
        <f>'Z_6.1.sz.mell'!D79</f>
        <v>554674</v>
      </c>
      <c r="E79" s="109">
        <f>'Z_6.1.sz.mell'!E79</f>
        <v>7640915</v>
      </c>
    </row>
    <row r="80" spans="1:5" s="54" customFormat="1" ht="12" customHeight="1" x14ac:dyDescent="0.2">
      <c r="A80" s="200" t="s">
        <v>249</v>
      </c>
      <c r="B80" s="183" t="s">
        <v>230</v>
      </c>
      <c r="C80" s="173">
        <f>'Z_6.1.sz.mell'!C80</f>
        <v>0</v>
      </c>
      <c r="D80" s="173">
        <f>'Z_6.1.sz.mell'!D80</f>
        <v>0</v>
      </c>
      <c r="E80" s="109">
        <f>'Z_6.1.sz.mell'!E80</f>
        <v>0</v>
      </c>
    </row>
    <row r="81" spans="1:5" s="54" customFormat="1" ht="12" customHeight="1" thickBot="1" x14ac:dyDescent="0.25">
      <c r="A81" s="201" t="s">
        <v>250</v>
      </c>
      <c r="B81" s="184" t="s">
        <v>491</v>
      </c>
      <c r="C81" s="173">
        <f>'Z_6.1.sz.mell'!C81</f>
        <v>0</v>
      </c>
      <c r="D81" s="173">
        <f>'Z_6.1.sz.mell'!D81</f>
        <v>0</v>
      </c>
      <c r="E81" s="109">
        <f>'Z_6.1.sz.mell'!E81</f>
        <v>0</v>
      </c>
    </row>
    <row r="82" spans="1:5" s="54" customFormat="1" ht="12" customHeight="1" thickBot="1" x14ac:dyDescent="0.2">
      <c r="A82" s="202" t="s">
        <v>231</v>
      </c>
      <c r="B82" s="112" t="s">
        <v>251</v>
      </c>
      <c r="C82" s="169">
        <f>'Z_6.1.sz.mell'!C82</f>
        <v>0</v>
      </c>
      <c r="D82" s="169">
        <f>'Z_6.1.sz.mell'!D82</f>
        <v>0</v>
      </c>
      <c r="E82" s="105">
        <f>'Z_6.1.sz.mell'!E82</f>
        <v>0</v>
      </c>
    </row>
    <row r="83" spans="1:5" s="54" customFormat="1" ht="12" customHeight="1" x14ac:dyDescent="0.2">
      <c r="A83" s="203" t="s">
        <v>232</v>
      </c>
      <c r="B83" s="182" t="s">
        <v>233</v>
      </c>
      <c r="C83" s="173">
        <f>'Z_6.1.sz.mell'!C83</f>
        <v>0</v>
      </c>
      <c r="D83" s="173">
        <f>'Z_6.1.sz.mell'!D83</f>
        <v>0</v>
      </c>
      <c r="E83" s="109">
        <f>'Z_6.1.sz.mell'!E83</f>
        <v>0</v>
      </c>
    </row>
    <row r="84" spans="1:5" s="54" customFormat="1" ht="12" customHeight="1" x14ac:dyDescent="0.2">
      <c r="A84" s="204" t="s">
        <v>234</v>
      </c>
      <c r="B84" s="183" t="s">
        <v>235</v>
      </c>
      <c r="C84" s="173">
        <f>'Z_6.1.sz.mell'!C84</f>
        <v>0</v>
      </c>
      <c r="D84" s="173">
        <f>'Z_6.1.sz.mell'!D84</f>
        <v>0</v>
      </c>
      <c r="E84" s="109">
        <f>'Z_6.1.sz.mell'!E84</f>
        <v>0</v>
      </c>
    </row>
    <row r="85" spans="1:5" s="54" customFormat="1" ht="12" customHeight="1" x14ac:dyDescent="0.2">
      <c r="A85" s="204" t="s">
        <v>236</v>
      </c>
      <c r="B85" s="183" t="s">
        <v>237</v>
      </c>
      <c r="C85" s="173">
        <f>'Z_6.1.sz.mell'!C85</f>
        <v>0</v>
      </c>
      <c r="D85" s="173">
        <f>'Z_6.1.sz.mell'!D85</f>
        <v>0</v>
      </c>
      <c r="E85" s="109">
        <f>'Z_6.1.sz.mell'!E85</f>
        <v>0</v>
      </c>
    </row>
    <row r="86" spans="1:5" s="53" customFormat="1" ht="12" customHeight="1" thickBot="1" x14ac:dyDescent="0.25">
      <c r="A86" s="205" t="s">
        <v>238</v>
      </c>
      <c r="B86" s="184" t="s">
        <v>239</v>
      </c>
      <c r="C86" s="173">
        <f>'Z_6.1.sz.mell'!C86</f>
        <v>0</v>
      </c>
      <c r="D86" s="173">
        <f>'Z_6.1.sz.mell'!D86</f>
        <v>0</v>
      </c>
      <c r="E86" s="109">
        <f>'Z_6.1.sz.mell'!E86</f>
        <v>0</v>
      </c>
    </row>
    <row r="87" spans="1:5" s="53" customFormat="1" ht="12" customHeight="1" thickBot="1" x14ac:dyDescent="0.2">
      <c r="A87" s="202" t="s">
        <v>240</v>
      </c>
      <c r="B87" s="112" t="s">
        <v>376</v>
      </c>
      <c r="C87" s="225">
        <f>'Z_6.1.sz.mell'!C87</f>
        <v>0</v>
      </c>
      <c r="D87" s="225">
        <f>'Z_6.1.sz.mell'!D87</f>
        <v>0</v>
      </c>
      <c r="E87" s="226">
        <f>'Z_6.1.sz.mell'!E87</f>
        <v>0</v>
      </c>
    </row>
    <row r="88" spans="1:5" s="53" customFormat="1" ht="12" customHeight="1" thickBot="1" x14ac:dyDescent="0.2">
      <c r="A88" s="202" t="s">
        <v>394</v>
      </c>
      <c r="B88" s="112" t="s">
        <v>241</v>
      </c>
      <c r="C88" s="225">
        <f>'Z_6.1.sz.mell'!C88</f>
        <v>0</v>
      </c>
      <c r="D88" s="225">
        <f>'Z_6.1.sz.mell'!D88</f>
        <v>0</v>
      </c>
      <c r="E88" s="226">
        <f>'Z_6.1.sz.mell'!E88</f>
        <v>0</v>
      </c>
    </row>
    <row r="89" spans="1:5" s="53" customFormat="1" ht="12" customHeight="1" thickBot="1" x14ac:dyDescent="0.2">
      <c r="A89" s="202" t="s">
        <v>395</v>
      </c>
      <c r="B89" s="189" t="s">
        <v>379</v>
      </c>
      <c r="C89" s="175">
        <f>'Z_6.1.sz.mell'!C89</f>
        <v>180139572</v>
      </c>
      <c r="D89" s="175">
        <f>'Z_6.1.sz.mell'!D89</f>
        <v>163031323</v>
      </c>
      <c r="E89" s="211">
        <f>'Z_6.1.sz.mell'!E89</f>
        <v>170117564</v>
      </c>
    </row>
    <row r="90" spans="1:5" s="53" customFormat="1" ht="12" customHeight="1" thickBot="1" x14ac:dyDescent="0.2">
      <c r="A90" s="206" t="s">
        <v>396</v>
      </c>
      <c r="B90" s="190" t="s">
        <v>397</v>
      </c>
      <c r="C90" s="175">
        <f>'Z_6.1.sz.mell'!C90</f>
        <v>640342309</v>
      </c>
      <c r="D90" s="175">
        <f>'Z_6.1.sz.mell'!D90</f>
        <v>802431389</v>
      </c>
      <c r="E90" s="211">
        <f>'Z_6.1.sz.mell'!E90</f>
        <v>768603062</v>
      </c>
    </row>
    <row r="91" spans="1:5" s="54" customFormat="1" ht="15.2" customHeight="1" thickBot="1" x14ac:dyDescent="0.25">
      <c r="A91" s="89"/>
      <c r="B91" s="90"/>
      <c r="C91" s="151"/>
    </row>
    <row r="92" spans="1:5" s="47" customFormat="1" ht="16.5" customHeight="1" thickBot="1" x14ac:dyDescent="0.25">
      <c r="A92" s="862" t="s">
        <v>40</v>
      </c>
      <c r="B92" s="863"/>
      <c r="C92" s="863"/>
      <c r="D92" s="863"/>
      <c r="E92" s="864"/>
    </row>
    <row r="93" spans="1:5" s="55" customFormat="1" ht="12" customHeight="1" thickBot="1" x14ac:dyDescent="0.25">
      <c r="A93" s="176" t="s">
        <v>6</v>
      </c>
      <c r="B93" s="24" t="s">
        <v>401</v>
      </c>
      <c r="C93" s="168">
        <f>'Z_6.1.sz.mell'!C93</f>
        <v>269676314</v>
      </c>
      <c r="D93" s="168">
        <f>'Z_6.1.sz.mell'!D93</f>
        <v>293587934</v>
      </c>
      <c r="E93" s="239">
        <f>'Z_6.1.sz.mell'!E93</f>
        <v>265135093</v>
      </c>
    </row>
    <row r="94" spans="1:5" ht="12" customHeight="1" x14ac:dyDescent="0.2">
      <c r="A94" s="207" t="s">
        <v>63</v>
      </c>
      <c r="B94" s="8" t="s">
        <v>35</v>
      </c>
      <c r="C94" s="246">
        <f>'Z_6.1.sz.mell'!C94</f>
        <v>36898383</v>
      </c>
      <c r="D94" s="246">
        <f>'Z_6.1.sz.mell'!D94</f>
        <v>41846949</v>
      </c>
      <c r="E94" s="240">
        <f>'Z_6.1.sz.mell'!E94</f>
        <v>39527842</v>
      </c>
    </row>
    <row r="95" spans="1:5" ht="12" customHeight="1" x14ac:dyDescent="0.2">
      <c r="A95" s="200" t="s">
        <v>64</v>
      </c>
      <c r="B95" s="6" t="s">
        <v>121</v>
      </c>
      <c r="C95" s="170">
        <f>'Z_6.1.sz.mell'!C95</f>
        <v>7020540</v>
      </c>
      <c r="D95" s="170">
        <f>'Z_6.1.sz.mell'!D95</f>
        <v>7720540</v>
      </c>
      <c r="E95" s="106">
        <f>'Z_6.1.sz.mell'!E95</f>
        <v>5544614</v>
      </c>
    </row>
    <row r="96" spans="1:5" ht="12" customHeight="1" x14ac:dyDescent="0.2">
      <c r="A96" s="200" t="s">
        <v>65</v>
      </c>
      <c r="B96" s="6" t="s">
        <v>89</v>
      </c>
      <c r="C96" s="172">
        <f>'Z_6.1.sz.mell'!C96</f>
        <v>118896333</v>
      </c>
      <c r="D96" s="170">
        <f>'Z_6.1.sz.mell'!D96</f>
        <v>132815675</v>
      </c>
      <c r="E96" s="108">
        <f>'Z_6.1.sz.mell'!E96</f>
        <v>121922179</v>
      </c>
    </row>
    <row r="97" spans="1:5" ht="12" customHeight="1" x14ac:dyDescent="0.2">
      <c r="A97" s="200" t="s">
        <v>66</v>
      </c>
      <c r="B97" s="9" t="s">
        <v>122</v>
      </c>
      <c r="C97" s="172">
        <f>'Z_6.1.sz.mell'!C97</f>
        <v>12550000</v>
      </c>
      <c r="D97" s="259">
        <f>'Z_6.1.sz.mell'!D97</f>
        <v>12550000</v>
      </c>
      <c r="E97" s="108">
        <f>'Z_6.1.sz.mell'!E97</f>
        <v>10715288</v>
      </c>
    </row>
    <row r="98" spans="1:5" ht="12" customHeight="1" x14ac:dyDescent="0.2">
      <c r="A98" s="200" t="s">
        <v>75</v>
      </c>
      <c r="B98" s="17" t="s">
        <v>123</v>
      </c>
      <c r="C98" s="172">
        <f>'Z_6.1.sz.mell'!C98</f>
        <v>84311058</v>
      </c>
      <c r="D98" s="259">
        <f>'Z_6.1.sz.mell'!D98</f>
        <v>91431807</v>
      </c>
      <c r="E98" s="108">
        <f>'Z_6.1.sz.mell'!E98</f>
        <v>87425170</v>
      </c>
    </row>
    <row r="99" spans="1:5" ht="12" customHeight="1" x14ac:dyDescent="0.2">
      <c r="A99" s="200" t="s">
        <v>67</v>
      </c>
      <c r="B99" s="6" t="s">
        <v>398</v>
      </c>
      <c r="C99" s="172">
        <f>'Z_6.1.sz.mell'!C99</f>
        <v>0</v>
      </c>
      <c r="D99" s="259">
        <f>'Z_6.1.sz.mell'!D99</f>
        <v>873299</v>
      </c>
      <c r="E99" s="108">
        <f>'Z_6.1.sz.mell'!E99</f>
        <v>873299</v>
      </c>
    </row>
    <row r="100" spans="1:5" ht="12" customHeight="1" x14ac:dyDescent="0.2">
      <c r="A100" s="200" t="s">
        <v>68</v>
      </c>
      <c r="B100" s="65" t="s">
        <v>342</v>
      </c>
      <c r="C100" s="172">
        <f>'Z_6.1.sz.mell'!C100</f>
        <v>18547030</v>
      </c>
      <c r="D100" s="259">
        <f>'Z_6.1.sz.mell'!D100</f>
        <v>18547030</v>
      </c>
      <c r="E100" s="108">
        <f>'Z_6.1.sz.mell'!E100</f>
        <v>18547030</v>
      </c>
    </row>
    <row r="101" spans="1:5" ht="12" customHeight="1" x14ac:dyDescent="0.2">
      <c r="A101" s="200" t="s">
        <v>76</v>
      </c>
      <c r="B101" s="65" t="s">
        <v>341</v>
      </c>
      <c r="C101" s="172">
        <f>'Z_6.1.sz.mell'!C101</f>
        <v>0</v>
      </c>
      <c r="D101" s="259">
        <f>'Z_6.1.sz.mell'!D101</f>
        <v>0</v>
      </c>
      <c r="E101" s="108">
        <f>'Z_6.1.sz.mell'!E101</f>
        <v>0</v>
      </c>
    </row>
    <row r="102" spans="1:5" ht="12" customHeight="1" x14ac:dyDescent="0.2">
      <c r="A102" s="200" t="s">
        <v>77</v>
      </c>
      <c r="B102" s="65" t="s">
        <v>257</v>
      </c>
      <c r="C102" s="172">
        <f>'Z_6.1.sz.mell'!C102</f>
        <v>0</v>
      </c>
      <c r="D102" s="259">
        <f>'Z_6.1.sz.mell'!D102</f>
        <v>0</v>
      </c>
      <c r="E102" s="108">
        <f>'Z_6.1.sz.mell'!E102</f>
        <v>0</v>
      </c>
    </row>
    <row r="103" spans="1:5" ht="12" customHeight="1" x14ac:dyDescent="0.2">
      <c r="A103" s="200" t="s">
        <v>78</v>
      </c>
      <c r="B103" s="66" t="s">
        <v>258</v>
      </c>
      <c r="C103" s="172">
        <f>'Z_6.1.sz.mell'!C103</f>
        <v>0</v>
      </c>
      <c r="D103" s="259">
        <f>'Z_6.1.sz.mell'!D103</f>
        <v>0</v>
      </c>
      <c r="E103" s="108">
        <f>'Z_6.1.sz.mell'!E103</f>
        <v>0</v>
      </c>
    </row>
    <row r="104" spans="1:5" ht="12" customHeight="1" x14ac:dyDescent="0.2">
      <c r="A104" s="200" t="s">
        <v>79</v>
      </c>
      <c r="B104" s="66" t="s">
        <v>259</v>
      </c>
      <c r="C104" s="172">
        <f>'Z_6.1.sz.mell'!C104</f>
        <v>0</v>
      </c>
      <c r="D104" s="259">
        <f>'Z_6.1.sz.mell'!D104</f>
        <v>0</v>
      </c>
      <c r="E104" s="108">
        <f>'Z_6.1.sz.mell'!E104</f>
        <v>0</v>
      </c>
    </row>
    <row r="105" spans="1:5" ht="12" customHeight="1" x14ac:dyDescent="0.2">
      <c r="A105" s="200" t="s">
        <v>81</v>
      </c>
      <c r="B105" s="65" t="s">
        <v>260</v>
      </c>
      <c r="C105" s="172">
        <f>'Z_6.1.sz.mell'!C105</f>
        <v>4841212</v>
      </c>
      <c r="D105" s="259">
        <f>'Z_6.1.sz.mell'!D105</f>
        <v>6041212</v>
      </c>
      <c r="E105" s="108">
        <f>'Z_6.1.sz.mell'!E105</f>
        <v>4931707</v>
      </c>
    </row>
    <row r="106" spans="1:5" ht="12" customHeight="1" x14ac:dyDescent="0.2">
      <c r="A106" s="200" t="s">
        <v>124</v>
      </c>
      <c r="B106" s="65" t="s">
        <v>261</v>
      </c>
      <c r="C106" s="172">
        <f>'Z_6.1.sz.mell'!C106</f>
        <v>0</v>
      </c>
      <c r="D106" s="259">
        <f>'Z_6.1.sz.mell'!D106</f>
        <v>0</v>
      </c>
      <c r="E106" s="108">
        <f>'Z_6.1.sz.mell'!E106</f>
        <v>0</v>
      </c>
    </row>
    <row r="107" spans="1:5" ht="12" customHeight="1" x14ac:dyDescent="0.2">
      <c r="A107" s="200" t="s">
        <v>255</v>
      </c>
      <c r="B107" s="66" t="s">
        <v>262</v>
      </c>
      <c r="C107" s="170">
        <f>'Z_6.1.sz.mell'!C107</f>
        <v>0</v>
      </c>
      <c r="D107" s="259">
        <f>'Z_6.1.sz.mell'!D107</f>
        <v>0</v>
      </c>
      <c r="E107" s="108">
        <f>'Z_6.1.sz.mell'!E107</f>
        <v>0</v>
      </c>
    </row>
    <row r="108" spans="1:5" ht="12" customHeight="1" x14ac:dyDescent="0.2">
      <c r="A108" s="208" t="s">
        <v>256</v>
      </c>
      <c r="B108" s="67" t="s">
        <v>263</v>
      </c>
      <c r="C108" s="172">
        <f>'Z_6.1.sz.mell'!C108</f>
        <v>0</v>
      </c>
      <c r="D108" s="259">
        <f>'Z_6.1.sz.mell'!D108</f>
        <v>0</v>
      </c>
      <c r="E108" s="108">
        <f>'Z_6.1.sz.mell'!E108</f>
        <v>0</v>
      </c>
    </row>
    <row r="109" spans="1:5" ht="12" customHeight="1" x14ac:dyDescent="0.2">
      <c r="A109" s="200" t="s">
        <v>339</v>
      </c>
      <c r="B109" s="67" t="s">
        <v>264</v>
      </c>
      <c r="C109" s="172">
        <f>'Z_6.1.sz.mell'!C109</f>
        <v>0</v>
      </c>
      <c r="D109" s="259">
        <f>'Z_6.1.sz.mell'!D109</f>
        <v>0</v>
      </c>
      <c r="E109" s="108">
        <f>'Z_6.1.sz.mell'!E109</f>
        <v>0</v>
      </c>
    </row>
    <row r="110" spans="1:5" ht="12" customHeight="1" x14ac:dyDescent="0.2">
      <c r="A110" s="200" t="s">
        <v>340</v>
      </c>
      <c r="B110" s="66" t="s">
        <v>265</v>
      </c>
      <c r="C110" s="170">
        <f>'Z_6.1.sz.mell'!C110</f>
        <v>60922816</v>
      </c>
      <c r="D110" s="258">
        <f>'Z_6.1.sz.mell'!D110</f>
        <v>65970266</v>
      </c>
      <c r="E110" s="106">
        <f>'Z_6.1.sz.mell'!E110</f>
        <v>62198134</v>
      </c>
    </row>
    <row r="111" spans="1:5" ht="12" customHeight="1" x14ac:dyDescent="0.2">
      <c r="A111" s="200" t="s">
        <v>344</v>
      </c>
      <c r="B111" s="9" t="s">
        <v>36</v>
      </c>
      <c r="C111" s="170">
        <f>'Z_6.1.sz.mell'!C111</f>
        <v>10000000</v>
      </c>
      <c r="D111" s="258">
        <f>'Z_6.1.sz.mell'!D111</f>
        <v>7222963</v>
      </c>
      <c r="E111" s="106">
        <f>'Z_6.1.sz.mell'!E111</f>
        <v>0</v>
      </c>
    </row>
    <row r="112" spans="1:5" ht="12" customHeight="1" x14ac:dyDescent="0.2">
      <c r="A112" s="201" t="s">
        <v>345</v>
      </c>
      <c r="B112" s="6" t="s">
        <v>399</v>
      </c>
      <c r="C112" s="172">
        <f>'Z_6.1.sz.mell'!C112</f>
        <v>8000000</v>
      </c>
      <c r="D112" s="259">
        <f>'Z_6.1.sz.mell'!D112</f>
        <v>6722963</v>
      </c>
      <c r="E112" s="108">
        <f>'Z_6.1.sz.mell'!E112</f>
        <v>0</v>
      </c>
    </row>
    <row r="113" spans="1:5" ht="12" customHeight="1" thickBot="1" x14ac:dyDescent="0.25">
      <c r="A113" s="209" t="s">
        <v>346</v>
      </c>
      <c r="B113" s="68" t="s">
        <v>400</v>
      </c>
      <c r="C113" s="247">
        <f>'Z_6.1.sz.mell'!C113</f>
        <v>2000000</v>
      </c>
      <c r="D113" s="296">
        <f>'Z_6.1.sz.mell'!D113</f>
        <v>500000</v>
      </c>
      <c r="E113" s="241">
        <f>'Z_6.1.sz.mell'!E113</f>
        <v>0</v>
      </c>
    </row>
    <row r="114" spans="1:5" ht="12" customHeight="1" thickBot="1" x14ac:dyDescent="0.25">
      <c r="A114" s="25" t="s">
        <v>7</v>
      </c>
      <c r="B114" s="23" t="s">
        <v>266</v>
      </c>
      <c r="C114" s="169">
        <f>'Z_6.1.sz.mell'!C114</f>
        <v>122661615</v>
      </c>
      <c r="D114" s="256">
        <f>'Z_6.1.sz.mell'!D114</f>
        <v>241444898</v>
      </c>
      <c r="E114" s="105">
        <f>'Z_6.1.sz.mell'!E114</f>
        <v>150790630</v>
      </c>
    </row>
    <row r="115" spans="1:5" ht="12" customHeight="1" x14ac:dyDescent="0.2">
      <c r="A115" s="199" t="s">
        <v>69</v>
      </c>
      <c r="B115" s="6" t="s">
        <v>142</v>
      </c>
      <c r="C115" s="171">
        <f>'Z_6.1.sz.mell'!C115</f>
        <v>27551518</v>
      </c>
      <c r="D115" s="257">
        <f>'Z_6.1.sz.mell'!D115</f>
        <v>21075059</v>
      </c>
      <c r="E115" s="107">
        <f>'Z_6.1.sz.mell'!E115</f>
        <v>20381501</v>
      </c>
    </row>
    <row r="116" spans="1:5" ht="12" customHeight="1" x14ac:dyDescent="0.2">
      <c r="A116" s="199" t="s">
        <v>70</v>
      </c>
      <c r="B116" s="10" t="s">
        <v>270</v>
      </c>
      <c r="C116" s="171">
        <f>'Z_6.1.sz.mell'!C116</f>
        <v>0</v>
      </c>
      <c r="D116" s="257">
        <f>'Z_6.1.sz.mell'!D116</f>
        <v>8509200</v>
      </c>
      <c r="E116" s="107">
        <f>'Z_6.1.sz.mell'!E116</f>
        <v>8509200</v>
      </c>
    </row>
    <row r="117" spans="1:5" ht="12" customHeight="1" x14ac:dyDescent="0.2">
      <c r="A117" s="199" t="s">
        <v>71</v>
      </c>
      <c r="B117" s="10" t="s">
        <v>125</v>
      </c>
      <c r="C117" s="170">
        <f>'Z_6.1.sz.mell'!C117</f>
        <v>95110097</v>
      </c>
      <c r="D117" s="258">
        <f>'Z_6.1.sz.mell'!D117</f>
        <v>216026421</v>
      </c>
      <c r="E117" s="106">
        <f>'Z_6.1.sz.mell'!E117</f>
        <v>126065711</v>
      </c>
    </row>
    <row r="118" spans="1:5" ht="12" customHeight="1" x14ac:dyDescent="0.2">
      <c r="A118" s="199" t="s">
        <v>72</v>
      </c>
      <c r="B118" s="10" t="s">
        <v>271</v>
      </c>
      <c r="C118" s="170">
        <f>'Z_6.1.sz.mell'!C118</f>
        <v>87833480</v>
      </c>
      <c r="D118" s="258">
        <f>'Z_6.1.sz.mell'!D118</f>
        <v>184833480</v>
      </c>
      <c r="E118" s="106">
        <f>'Z_6.1.sz.mell'!E118</f>
        <v>121637168</v>
      </c>
    </row>
    <row r="119" spans="1:5" ht="12" customHeight="1" x14ac:dyDescent="0.2">
      <c r="A119" s="199" t="s">
        <v>73</v>
      </c>
      <c r="B119" s="114" t="s">
        <v>144</v>
      </c>
      <c r="C119" s="170">
        <f>'Z_6.1.sz.mell'!C119</f>
        <v>0</v>
      </c>
      <c r="D119" s="258">
        <f>'Z_6.1.sz.mell'!D119</f>
        <v>4343418</v>
      </c>
      <c r="E119" s="106">
        <f>'Z_6.1.sz.mell'!E119</f>
        <v>4343418</v>
      </c>
    </row>
    <row r="120" spans="1:5" ht="12" customHeight="1" x14ac:dyDescent="0.2">
      <c r="A120" s="199" t="s">
        <v>80</v>
      </c>
      <c r="B120" s="113" t="s">
        <v>331</v>
      </c>
      <c r="C120" s="170">
        <f>'Z_6.1.sz.mell'!C120</f>
        <v>0</v>
      </c>
      <c r="D120" s="258">
        <f>'Z_6.1.sz.mell'!D120</f>
        <v>0</v>
      </c>
      <c r="E120" s="106">
        <f>'Z_6.1.sz.mell'!E120</f>
        <v>0</v>
      </c>
    </row>
    <row r="121" spans="1:5" ht="12" customHeight="1" x14ac:dyDescent="0.2">
      <c r="A121" s="199" t="s">
        <v>82</v>
      </c>
      <c r="B121" s="178" t="s">
        <v>276</v>
      </c>
      <c r="C121" s="170">
        <f>'Z_6.1.sz.mell'!C121</f>
        <v>0</v>
      </c>
      <c r="D121" s="258">
        <f>'Z_6.1.sz.mell'!D121</f>
        <v>0</v>
      </c>
      <c r="E121" s="106">
        <f>'Z_6.1.sz.mell'!E121</f>
        <v>0</v>
      </c>
    </row>
    <row r="122" spans="1:5" ht="12" customHeight="1" x14ac:dyDescent="0.2">
      <c r="A122" s="199" t="s">
        <v>126</v>
      </c>
      <c r="B122" s="66" t="s">
        <v>259</v>
      </c>
      <c r="C122" s="170">
        <f>'Z_6.1.sz.mell'!C122</f>
        <v>0</v>
      </c>
      <c r="D122" s="258">
        <f>'Z_6.1.sz.mell'!D122</f>
        <v>4100000</v>
      </c>
      <c r="E122" s="106">
        <f>'Z_6.1.sz.mell'!E122</f>
        <v>4100000</v>
      </c>
    </row>
    <row r="123" spans="1:5" ht="12" customHeight="1" x14ac:dyDescent="0.2">
      <c r="A123" s="199" t="s">
        <v>127</v>
      </c>
      <c r="B123" s="66" t="s">
        <v>275</v>
      </c>
      <c r="C123" s="170">
        <f>'Z_6.1.sz.mell'!C123</f>
        <v>0</v>
      </c>
      <c r="D123" s="258">
        <f>'Z_6.1.sz.mell'!D123</f>
        <v>243418</v>
      </c>
      <c r="E123" s="106">
        <f>'Z_6.1.sz.mell'!E123</f>
        <v>243418</v>
      </c>
    </row>
    <row r="124" spans="1:5" ht="12" customHeight="1" x14ac:dyDescent="0.2">
      <c r="A124" s="199" t="s">
        <v>128</v>
      </c>
      <c r="B124" s="66" t="s">
        <v>274</v>
      </c>
      <c r="C124" s="170">
        <f>'Z_6.1.sz.mell'!C124</f>
        <v>0</v>
      </c>
      <c r="D124" s="258">
        <f>'Z_6.1.sz.mell'!D124</f>
        <v>0</v>
      </c>
      <c r="E124" s="106">
        <f>'Z_6.1.sz.mell'!E124</f>
        <v>0</v>
      </c>
    </row>
    <row r="125" spans="1:5" ht="12" customHeight="1" x14ac:dyDescent="0.2">
      <c r="A125" s="199" t="s">
        <v>267</v>
      </c>
      <c r="B125" s="66" t="s">
        <v>262</v>
      </c>
      <c r="C125" s="170">
        <f>'Z_6.1.sz.mell'!C125</f>
        <v>0</v>
      </c>
      <c r="D125" s="258">
        <f>'Z_6.1.sz.mell'!D125</f>
        <v>0</v>
      </c>
      <c r="E125" s="106">
        <f>'Z_6.1.sz.mell'!E125</f>
        <v>0</v>
      </c>
    </row>
    <row r="126" spans="1:5" ht="12" customHeight="1" x14ac:dyDescent="0.2">
      <c r="A126" s="199" t="s">
        <v>268</v>
      </c>
      <c r="B126" s="66" t="s">
        <v>273</v>
      </c>
      <c r="C126" s="170">
        <f>'Z_6.1.sz.mell'!C126</f>
        <v>0</v>
      </c>
      <c r="D126" s="258">
        <f>'Z_6.1.sz.mell'!D126</f>
        <v>0</v>
      </c>
      <c r="E126" s="106">
        <f>'Z_6.1.sz.mell'!E126</f>
        <v>0</v>
      </c>
    </row>
    <row r="127" spans="1:5" ht="12" customHeight="1" thickBot="1" x14ac:dyDescent="0.25">
      <c r="A127" s="208" t="s">
        <v>269</v>
      </c>
      <c r="B127" s="66" t="s">
        <v>272</v>
      </c>
      <c r="C127" s="172">
        <f>'Z_6.1.sz.mell'!C127</f>
        <v>0</v>
      </c>
      <c r="D127" s="259">
        <f>'Z_6.1.sz.mell'!D127</f>
        <v>0</v>
      </c>
      <c r="E127" s="108">
        <f>'Z_6.1.sz.mell'!E127</f>
        <v>0</v>
      </c>
    </row>
    <row r="128" spans="1:5" ht="12" customHeight="1" thickBot="1" x14ac:dyDescent="0.25">
      <c r="A128" s="25" t="s">
        <v>8</v>
      </c>
      <c r="B128" s="59" t="s">
        <v>349</v>
      </c>
      <c r="C128" s="169">
        <f>'Z_6.1.sz.mell'!C128</f>
        <v>392337929</v>
      </c>
      <c r="D128" s="256">
        <f>'Z_6.1.sz.mell'!D128</f>
        <v>535032832</v>
      </c>
      <c r="E128" s="105">
        <f>'Z_6.1.sz.mell'!E128</f>
        <v>415925723</v>
      </c>
    </row>
    <row r="129" spans="1:11" ht="12" customHeight="1" thickBot="1" x14ac:dyDescent="0.25">
      <c r="A129" s="25" t="s">
        <v>9</v>
      </c>
      <c r="B129" s="59" t="s">
        <v>350</v>
      </c>
      <c r="C129" s="169">
        <f>'Z_6.1.sz.mell'!C129</f>
        <v>0</v>
      </c>
      <c r="D129" s="256">
        <f>'Z_6.1.sz.mell'!D129</f>
        <v>0</v>
      </c>
      <c r="E129" s="105">
        <f>'Z_6.1.sz.mell'!E129</f>
        <v>0</v>
      </c>
    </row>
    <row r="130" spans="1:11" s="55" customFormat="1" ht="12" customHeight="1" x14ac:dyDescent="0.2">
      <c r="A130" s="199" t="s">
        <v>176</v>
      </c>
      <c r="B130" s="7" t="s">
        <v>404</v>
      </c>
      <c r="C130" s="170">
        <f>'Z_6.1.sz.mell'!C130</f>
        <v>0</v>
      </c>
      <c r="D130" s="258">
        <f>'Z_6.1.sz.mell'!D130</f>
        <v>0</v>
      </c>
      <c r="E130" s="106">
        <f>'Z_6.1.sz.mell'!E130</f>
        <v>0</v>
      </c>
    </row>
    <row r="131" spans="1:11" ht="12" customHeight="1" x14ac:dyDescent="0.2">
      <c r="A131" s="199" t="s">
        <v>177</v>
      </c>
      <c r="B131" s="7" t="s">
        <v>358</v>
      </c>
      <c r="C131" s="170">
        <f>'Z_6.1.sz.mell'!C131</f>
        <v>0</v>
      </c>
      <c r="D131" s="258">
        <f>'Z_6.1.sz.mell'!D131</f>
        <v>0</v>
      </c>
      <c r="E131" s="106">
        <f>'Z_6.1.sz.mell'!E131</f>
        <v>0</v>
      </c>
    </row>
    <row r="132" spans="1:11" ht="12" customHeight="1" thickBot="1" x14ac:dyDescent="0.25">
      <c r="A132" s="208" t="s">
        <v>178</v>
      </c>
      <c r="B132" s="5" t="s">
        <v>403</v>
      </c>
      <c r="C132" s="170">
        <f>'Z_6.1.sz.mell'!C132</f>
        <v>0</v>
      </c>
      <c r="D132" s="258">
        <f>'Z_6.1.sz.mell'!D132</f>
        <v>0</v>
      </c>
      <c r="E132" s="106">
        <f>'Z_6.1.sz.mell'!E132</f>
        <v>0</v>
      </c>
    </row>
    <row r="133" spans="1:11" ht="12" customHeight="1" thickBot="1" x14ac:dyDescent="0.25">
      <c r="A133" s="25" t="s">
        <v>10</v>
      </c>
      <c r="B133" s="59" t="s">
        <v>351</v>
      </c>
      <c r="C133" s="169">
        <f>'Z_6.1.sz.mell'!C133</f>
        <v>0</v>
      </c>
      <c r="D133" s="256">
        <f>'Z_6.1.sz.mell'!D133</f>
        <v>0</v>
      </c>
      <c r="E133" s="105">
        <f>'Z_6.1.sz.mell'!E133</f>
        <v>0</v>
      </c>
    </row>
    <row r="134" spans="1:11" ht="12" customHeight="1" x14ac:dyDescent="0.2">
      <c r="A134" s="199" t="s">
        <v>56</v>
      </c>
      <c r="B134" s="7" t="s">
        <v>360</v>
      </c>
      <c r="C134" s="170">
        <f>'Z_6.1.sz.mell'!C134</f>
        <v>0</v>
      </c>
      <c r="D134" s="258">
        <f>'Z_6.1.sz.mell'!D134</f>
        <v>0</v>
      </c>
      <c r="E134" s="106">
        <f>'Z_6.1.sz.mell'!E134</f>
        <v>0</v>
      </c>
    </row>
    <row r="135" spans="1:11" ht="12" customHeight="1" x14ac:dyDescent="0.2">
      <c r="A135" s="199" t="s">
        <v>57</v>
      </c>
      <c r="B135" s="7" t="s">
        <v>352</v>
      </c>
      <c r="C135" s="170">
        <f>'Z_6.1.sz.mell'!C135</f>
        <v>0</v>
      </c>
      <c r="D135" s="258">
        <f>'Z_6.1.sz.mell'!D135</f>
        <v>0</v>
      </c>
      <c r="E135" s="106">
        <f>'Z_6.1.sz.mell'!E135</f>
        <v>0</v>
      </c>
    </row>
    <row r="136" spans="1:11" ht="12" customHeight="1" x14ac:dyDescent="0.2">
      <c r="A136" s="199" t="s">
        <v>58</v>
      </c>
      <c r="B136" s="7" t="s">
        <v>353</v>
      </c>
      <c r="C136" s="170">
        <f>'Z_6.1.sz.mell'!C136</f>
        <v>0</v>
      </c>
      <c r="D136" s="258">
        <f>'Z_6.1.sz.mell'!D136</f>
        <v>0</v>
      </c>
      <c r="E136" s="106">
        <f>'Z_6.1.sz.mell'!E136</f>
        <v>0</v>
      </c>
    </row>
    <row r="137" spans="1:11" ht="12" customHeight="1" x14ac:dyDescent="0.2">
      <c r="A137" s="199" t="s">
        <v>113</v>
      </c>
      <c r="B137" s="7" t="s">
        <v>402</v>
      </c>
      <c r="C137" s="170">
        <f>'Z_6.1.sz.mell'!C137</f>
        <v>0</v>
      </c>
      <c r="D137" s="258">
        <f>'Z_6.1.sz.mell'!D137</f>
        <v>0</v>
      </c>
      <c r="E137" s="106">
        <f>'Z_6.1.sz.mell'!E137</f>
        <v>0</v>
      </c>
    </row>
    <row r="138" spans="1:11" ht="12" customHeight="1" x14ac:dyDescent="0.2">
      <c r="A138" s="199" t="s">
        <v>114</v>
      </c>
      <c r="B138" s="7" t="s">
        <v>355</v>
      </c>
      <c r="C138" s="170">
        <f>'Z_6.1.sz.mell'!C138</f>
        <v>0</v>
      </c>
      <c r="D138" s="258">
        <f>'Z_6.1.sz.mell'!D138</f>
        <v>0</v>
      </c>
      <c r="E138" s="106">
        <f>'Z_6.1.sz.mell'!E138</f>
        <v>0</v>
      </c>
    </row>
    <row r="139" spans="1:11" s="55" customFormat="1" ht="12" customHeight="1" thickBot="1" x14ac:dyDescent="0.25">
      <c r="A139" s="208" t="s">
        <v>115</v>
      </c>
      <c r="B139" s="5" t="s">
        <v>356</v>
      </c>
      <c r="C139" s="170">
        <f>'Z_6.1.sz.mell'!C139</f>
        <v>0</v>
      </c>
      <c r="D139" s="258">
        <f>'Z_6.1.sz.mell'!D139</f>
        <v>0</v>
      </c>
      <c r="E139" s="106">
        <f>'Z_6.1.sz.mell'!E139</f>
        <v>0</v>
      </c>
    </row>
    <row r="140" spans="1:11" ht="12" customHeight="1" thickBot="1" x14ac:dyDescent="0.25">
      <c r="A140" s="25" t="s">
        <v>11</v>
      </c>
      <c r="B140" s="59" t="s">
        <v>417</v>
      </c>
      <c r="C140" s="175">
        <f>'Z_6.1.sz.mell'!C140</f>
        <v>248004380</v>
      </c>
      <c r="D140" s="260">
        <f>'Z_6.1.sz.mell'!D140</f>
        <v>267398557</v>
      </c>
      <c r="E140" s="211">
        <f>'Z_6.1.sz.mell'!E140</f>
        <v>243612689</v>
      </c>
      <c r="K140" s="98"/>
    </row>
    <row r="141" spans="1:11" x14ac:dyDescent="0.2">
      <c r="A141" s="199" t="s">
        <v>59</v>
      </c>
      <c r="B141" s="7" t="s">
        <v>277</v>
      </c>
      <c r="C141" s="170">
        <f>'Z_6.1.sz.mell'!C141</f>
        <v>0</v>
      </c>
      <c r="D141" s="258">
        <f>'Z_6.1.sz.mell'!D141</f>
        <v>0</v>
      </c>
      <c r="E141" s="106">
        <f>'Z_6.1.sz.mell'!E141</f>
        <v>0</v>
      </c>
    </row>
    <row r="142" spans="1:11" ht="12" customHeight="1" x14ac:dyDescent="0.2">
      <c r="A142" s="199" t="s">
        <v>60</v>
      </c>
      <c r="B142" s="7" t="s">
        <v>278</v>
      </c>
      <c r="C142" s="170">
        <f>'Z_6.1.sz.mell'!C142</f>
        <v>6755189</v>
      </c>
      <c r="D142" s="258">
        <f>'Z_6.1.sz.mell'!D142</f>
        <v>7309863</v>
      </c>
      <c r="E142" s="106">
        <f>'Z_6.1.sz.mell'!E142</f>
        <v>7309863</v>
      </c>
    </row>
    <row r="143" spans="1:11" ht="12" customHeight="1" x14ac:dyDescent="0.2">
      <c r="A143" s="199" t="s">
        <v>194</v>
      </c>
      <c r="B143" s="7" t="s">
        <v>416</v>
      </c>
      <c r="C143" s="170">
        <f>'Z_6.1.sz.mell'!C143</f>
        <v>241249191</v>
      </c>
      <c r="D143" s="258">
        <f>'Z_6.1.sz.mell'!D143</f>
        <v>260088694</v>
      </c>
      <c r="E143" s="106">
        <f>'Z_6.1.sz.mell'!E143</f>
        <v>236302826</v>
      </c>
    </row>
    <row r="144" spans="1:11" s="55" customFormat="1" ht="12" customHeight="1" x14ac:dyDescent="0.2">
      <c r="A144" s="199" t="s">
        <v>195</v>
      </c>
      <c r="B144" s="7" t="s">
        <v>365</v>
      </c>
      <c r="C144" s="170">
        <f>'Z_6.1.sz.mell'!C144</f>
        <v>0</v>
      </c>
      <c r="D144" s="258">
        <f>'Z_6.1.sz.mell'!D144</f>
        <v>0</v>
      </c>
      <c r="E144" s="106">
        <f>'Z_6.1.sz.mell'!E144</f>
        <v>0</v>
      </c>
    </row>
    <row r="145" spans="1:5" s="55" customFormat="1" ht="12" customHeight="1" thickBot="1" x14ac:dyDescent="0.25">
      <c r="A145" s="208" t="s">
        <v>196</v>
      </c>
      <c r="B145" s="5" t="s">
        <v>294</v>
      </c>
      <c r="C145" s="170">
        <f>'Z_6.1.sz.mell'!C145</f>
        <v>0</v>
      </c>
      <c r="D145" s="258">
        <f>'Z_6.1.sz.mell'!D145</f>
        <v>0</v>
      </c>
      <c r="E145" s="106">
        <f>'Z_6.1.sz.mell'!E145</f>
        <v>0</v>
      </c>
    </row>
    <row r="146" spans="1:5" s="55" customFormat="1" ht="12" customHeight="1" thickBot="1" x14ac:dyDescent="0.25">
      <c r="A146" s="25" t="s">
        <v>12</v>
      </c>
      <c r="B146" s="59" t="s">
        <v>366</v>
      </c>
      <c r="C146" s="249">
        <f>'Z_6.1.sz.mell'!C146</f>
        <v>0</v>
      </c>
      <c r="D146" s="261">
        <f>'Z_6.1.sz.mell'!D146</f>
        <v>0</v>
      </c>
      <c r="E146" s="243">
        <f>'Z_6.1.sz.mell'!E146</f>
        <v>0</v>
      </c>
    </row>
    <row r="147" spans="1:5" s="55" customFormat="1" ht="12" customHeight="1" x14ac:dyDescent="0.2">
      <c r="A147" s="199" t="s">
        <v>61</v>
      </c>
      <c r="B147" s="7" t="s">
        <v>361</v>
      </c>
      <c r="C147" s="170">
        <f>'Z_6.1.sz.mell'!C147</f>
        <v>0</v>
      </c>
      <c r="D147" s="258">
        <f>'Z_6.1.sz.mell'!D147</f>
        <v>0</v>
      </c>
      <c r="E147" s="106">
        <f>'Z_6.1.sz.mell'!E147</f>
        <v>0</v>
      </c>
    </row>
    <row r="148" spans="1:5" s="55" customFormat="1" ht="12" customHeight="1" x14ac:dyDescent="0.2">
      <c r="A148" s="199" t="s">
        <v>62</v>
      </c>
      <c r="B148" s="7" t="s">
        <v>368</v>
      </c>
      <c r="C148" s="170">
        <f>'Z_6.1.sz.mell'!C148</f>
        <v>0</v>
      </c>
      <c r="D148" s="258">
        <f>'Z_6.1.sz.mell'!D148</f>
        <v>0</v>
      </c>
      <c r="E148" s="106">
        <f>'Z_6.1.sz.mell'!E148</f>
        <v>0</v>
      </c>
    </row>
    <row r="149" spans="1:5" s="55" customFormat="1" ht="12" customHeight="1" x14ac:dyDescent="0.2">
      <c r="A149" s="199" t="s">
        <v>206</v>
      </c>
      <c r="B149" s="7" t="s">
        <v>363</v>
      </c>
      <c r="C149" s="170">
        <f>'Z_6.1.sz.mell'!C149</f>
        <v>0</v>
      </c>
      <c r="D149" s="258">
        <f>'Z_6.1.sz.mell'!D149</f>
        <v>0</v>
      </c>
      <c r="E149" s="106">
        <f>'Z_6.1.sz.mell'!E149</f>
        <v>0</v>
      </c>
    </row>
    <row r="150" spans="1:5" s="55" customFormat="1" ht="12" customHeight="1" x14ac:dyDescent="0.2">
      <c r="A150" s="199" t="s">
        <v>207</v>
      </c>
      <c r="B150" s="7" t="s">
        <v>405</v>
      </c>
      <c r="C150" s="170">
        <f>'Z_6.1.sz.mell'!C150</f>
        <v>0</v>
      </c>
      <c r="D150" s="258">
        <f>'Z_6.1.sz.mell'!D150</f>
        <v>0</v>
      </c>
      <c r="E150" s="106">
        <f>'Z_6.1.sz.mell'!E150</f>
        <v>0</v>
      </c>
    </row>
    <row r="151" spans="1:5" ht="12.75" customHeight="1" thickBot="1" x14ac:dyDescent="0.25">
      <c r="A151" s="208" t="s">
        <v>367</v>
      </c>
      <c r="B151" s="5" t="s">
        <v>370</v>
      </c>
      <c r="C151" s="172">
        <f>'Z_6.1.sz.mell'!C151</f>
        <v>0</v>
      </c>
      <c r="D151" s="259">
        <f>'Z_6.1.sz.mell'!D151</f>
        <v>0</v>
      </c>
      <c r="E151" s="108">
        <f>'Z_6.1.sz.mell'!E151</f>
        <v>0</v>
      </c>
    </row>
    <row r="152" spans="1:5" ht="12.75" customHeight="1" thickBot="1" x14ac:dyDescent="0.25">
      <c r="A152" s="238" t="s">
        <v>13</v>
      </c>
      <c r="B152" s="59" t="s">
        <v>371</v>
      </c>
      <c r="C152" s="249">
        <f>'Z_6.1.sz.mell'!C152</f>
        <v>0</v>
      </c>
      <c r="D152" s="261">
        <f>'Z_6.1.sz.mell'!D152</f>
        <v>0</v>
      </c>
      <c r="E152" s="243">
        <f>'Z_6.1.sz.mell'!E152</f>
        <v>0</v>
      </c>
    </row>
    <row r="153" spans="1:5" ht="12.75" customHeight="1" thickBot="1" x14ac:dyDescent="0.25">
      <c r="A153" s="238" t="s">
        <v>14</v>
      </c>
      <c r="B153" s="59" t="s">
        <v>372</v>
      </c>
      <c r="C153" s="249">
        <f>'Z_6.1.sz.mell'!C153</f>
        <v>0</v>
      </c>
      <c r="D153" s="261">
        <f>'Z_6.1.sz.mell'!D153</f>
        <v>0</v>
      </c>
      <c r="E153" s="243">
        <f>'Z_6.1.sz.mell'!E153</f>
        <v>0</v>
      </c>
    </row>
    <row r="154" spans="1:5" ht="12" customHeight="1" thickBot="1" x14ac:dyDescent="0.25">
      <c r="A154" s="25" t="s">
        <v>15</v>
      </c>
      <c r="B154" s="59" t="s">
        <v>374</v>
      </c>
      <c r="C154" s="251">
        <f>'Z_6.1.sz.mell'!C154</f>
        <v>248004380</v>
      </c>
      <c r="D154" s="263">
        <f>'Z_6.1.sz.mell'!D154</f>
        <v>267398557</v>
      </c>
      <c r="E154" s="245">
        <f>'Z_6.1.sz.mell'!E154</f>
        <v>243612689</v>
      </c>
    </row>
    <row r="155" spans="1:5" ht="15.2" customHeight="1" thickBot="1" x14ac:dyDescent="0.25">
      <c r="A155" s="210" t="s">
        <v>16</v>
      </c>
      <c r="B155" s="156" t="s">
        <v>373</v>
      </c>
      <c r="C155" s="251">
        <f>'Z_6.1.sz.mell'!C155</f>
        <v>640342309</v>
      </c>
      <c r="D155" s="263">
        <f>'Z_6.1.sz.mell'!D155</f>
        <v>802431389</v>
      </c>
      <c r="E155" s="245">
        <f>'Z_6.1.sz.mell'!E155</f>
        <v>659538412</v>
      </c>
    </row>
    <row r="156" spans="1:5" ht="13.5" thickBot="1" x14ac:dyDescent="0.25">
      <c r="A156" s="159"/>
      <c r="B156" s="160"/>
      <c r="C156" s="627">
        <f>C90-C155</f>
        <v>0</v>
      </c>
      <c r="D156" s="627">
        <f>D90-D155</f>
        <v>0</v>
      </c>
      <c r="E156" s="161"/>
    </row>
    <row r="157" spans="1:5" ht="15.2" customHeight="1" thickBot="1" x14ac:dyDescent="0.25">
      <c r="A157" s="305" t="s">
        <v>484</v>
      </c>
      <c r="B157" s="306"/>
      <c r="C157" s="295">
        <f>'Z_6.1.sz.mell'!C157</f>
        <v>15</v>
      </c>
      <c r="D157" s="295">
        <f>'Z_6.1.sz.mell'!D157</f>
        <v>15</v>
      </c>
      <c r="E157" s="294">
        <f>'Z_6.1.sz.mell'!E157</f>
        <v>16</v>
      </c>
    </row>
    <row r="158" spans="1:5" ht="14.45" customHeight="1" thickBot="1" x14ac:dyDescent="0.25">
      <c r="A158" s="307" t="s">
        <v>485</v>
      </c>
      <c r="B158" s="308"/>
      <c r="C158" s="295">
        <f>'Z_6.1.sz.mell'!C158</f>
        <v>2</v>
      </c>
      <c r="D158" s="295">
        <f>'Z_6.1.sz.mell'!D158</f>
        <v>2</v>
      </c>
      <c r="E158" s="294">
        <f>'Z_6.1.sz.mell'!E158</f>
        <v>2</v>
      </c>
    </row>
  </sheetData>
  <sheetProtection formatCells="0"/>
  <mergeCells count="5">
    <mergeCell ref="B2:D2"/>
    <mergeCell ref="B3:D3"/>
    <mergeCell ref="A7:E7"/>
    <mergeCell ref="A92:E92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B0A65-C985-424A-A5C6-B3D9ABF1A958}">
  <sheetPr>
    <tabColor theme="0" tint="-0.499984740745262"/>
  </sheetPr>
  <dimension ref="A1:K158"/>
  <sheetViews>
    <sheetView zoomScale="120" zoomScaleNormal="120" zoomScaleSheetLayoutView="100" workbookViewId="0">
      <selection activeCell="I27" sqref="I27"/>
    </sheetView>
  </sheetViews>
  <sheetFormatPr defaultRowHeight="12.75" x14ac:dyDescent="0.2"/>
  <cols>
    <col min="1" max="1" width="16.1640625" style="162" customWidth="1"/>
    <col min="2" max="2" width="62" style="163" customWidth="1"/>
    <col min="3" max="3" width="14.1640625" style="16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327"/>
      <c r="B1" s="339"/>
      <c r="C1" s="340"/>
      <c r="D1" s="340"/>
      <c r="E1" s="630" t="str">
        <f>CONCATENATE("6.1.2. melléklet ",Z_ALAPADATOK!A7," ",Z_ALAPADATOK!B7," ",Z_ALAPADATOK!C7," ",Z_ALAPADATOK!D7," ",Z_ALAPADATOK!E7," ",Z_ALAPADATOK!F7," ",Z_ALAPADATOK!G7," ",Z_ALAPADATOK!H7)</f>
        <v>6.1.2. melléklet a … / 2022. ( … ) önkormányzati rendelethez</v>
      </c>
    </row>
    <row r="2" spans="1:5" s="51" customFormat="1" ht="21.2" customHeight="1" thickBot="1" x14ac:dyDescent="0.25">
      <c r="A2" s="336" t="s">
        <v>44</v>
      </c>
      <c r="B2" s="865" t="str">
        <f>CONCATENATE(Z_ALAPADATOK!A3)</f>
        <v>Sajószöged Községi Önkormányzat</v>
      </c>
      <c r="C2" s="865"/>
      <c r="D2" s="865"/>
      <c r="E2" s="337" t="s">
        <v>38</v>
      </c>
    </row>
    <row r="3" spans="1:5" s="51" customFormat="1" ht="24.75" thickBot="1" x14ac:dyDescent="0.25">
      <c r="A3" s="336" t="s">
        <v>134</v>
      </c>
      <c r="B3" s="865" t="s">
        <v>323</v>
      </c>
      <c r="C3" s="865"/>
      <c r="D3" s="865"/>
      <c r="E3" s="338" t="s">
        <v>42</v>
      </c>
    </row>
    <row r="4" spans="1:5" s="52" customFormat="1" ht="15.95" customHeight="1" thickBot="1" x14ac:dyDescent="0.3">
      <c r="A4" s="330"/>
      <c r="B4" s="330"/>
      <c r="C4" s="331"/>
      <c r="D4" s="332"/>
      <c r="E4" s="331" t="str">
        <f>'Z_6.1.1.sz.mell'!E4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CONCATENATE('Z_6.1.1.sz.mell'!E5)</f>
        <v>Teljesítés
2021. XII. 31.</v>
      </c>
    </row>
    <row r="6" spans="1:5" s="47" customFormat="1" ht="12.95" customHeight="1" thickBot="1" x14ac:dyDescent="0.25">
      <c r="A6" s="77" t="s">
        <v>385</v>
      </c>
      <c r="B6" s="78" t="s">
        <v>386</v>
      </c>
      <c r="C6" s="78" t="s">
        <v>387</v>
      </c>
      <c r="D6" s="289" t="s">
        <v>389</v>
      </c>
      <c r="E6" s="79" t="s">
        <v>388</v>
      </c>
    </row>
    <row r="7" spans="1:5" s="47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47" customFormat="1" ht="12" customHeight="1" thickBot="1" x14ac:dyDescent="0.25">
      <c r="A8" s="25" t="s">
        <v>6</v>
      </c>
      <c r="B8" s="19" t="s">
        <v>161</v>
      </c>
      <c r="C8" s="169">
        <f>+C9+C10+C11+C12+C13+C14</f>
        <v>0</v>
      </c>
      <c r="D8" s="256">
        <f>+D9+D10+D11+D12+D13+D14</f>
        <v>0</v>
      </c>
      <c r="E8" s="105">
        <f>+E9+E10+E11+E12+E13+E14</f>
        <v>0</v>
      </c>
    </row>
    <row r="9" spans="1:5" s="53" customFormat="1" ht="12" customHeight="1" x14ac:dyDescent="0.2">
      <c r="A9" s="199" t="s">
        <v>63</v>
      </c>
      <c r="B9" s="182" t="s">
        <v>162</v>
      </c>
      <c r="C9" s="171"/>
      <c r="D9" s="257"/>
      <c r="E9" s="107"/>
    </row>
    <row r="10" spans="1:5" s="54" customFormat="1" ht="12" customHeight="1" x14ac:dyDescent="0.2">
      <c r="A10" s="200" t="s">
        <v>64</v>
      </c>
      <c r="B10" s="183" t="s">
        <v>163</v>
      </c>
      <c r="C10" s="170"/>
      <c r="D10" s="258"/>
      <c r="E10" s="106"/>
    </row>
    <row r="11" spans="1:5" s="54" customFormat="1" ht="12" customHeight="1" x14ac:dyDescent="0.2">
      <c r="A11" s="200" t="s">
        <v>65</v>
      </c>
      <c r="B11" s="183" t="s">
        <v>164</v>
      </c>
      <c r="C11" s="170"/>
      <c r="D11" s="258"/>
      <c r="E11" s="106"/>
    </row>
    <row r="12" spans="1:5" s="54" customFormat="1" ht="12" customHeight="1" x14ac:dyDescent="0.2">
      <c r="A12" s="200" t="s">
        <v>66</v>
      </c>
      <c r="B12" s="183" t="s">
        <v>165</v>
      </c>
      <c r="C12" s="170"/>
      <c r="D12" s="258"/>
      <c r="E12" s="106"/>
    </row>
    <row r="13" spans="1:5" s="54" customFormat="1" ht="12" customHeight="1" x14ac:dyDescent="0.2">
      <c r="A13" s="200" t="s">
        <v>96</v>
      </c>
      <c r="B13" s="183" t="s">
        <v>393</v>
      </c>
      <c r="C13" s="170"/>
      <c r="D13" s="258"/>
      <c r="E13" s="106"/>
    </row>
    <row r="14" spans="1:5" s="53" customFormat="1" ht="12" customHeight="1" thickBot="1" x14ac:dyDescent="0.25">
      <c r="A14" s="201" t="s">
        <v>67</v>
      </c>
      <c r="B14" s="184" t="s">
        <v>334</v>
      </c>
      <c r="C14" s="170"/>
      <c r="D14" s="258"/>
      <c r="E14" s="106"/>
    </row>
    <row r="15" spans="1:5" s="53" customFormat="1" ht="12" customHeight="1" thickBot="1" x14ac:dyDescent="0.25">
      <c r="A15" s="25" t="s">
        <v>7</v>
      </c>
      <c r="B15" s="112" t="s">
        <v>166</v>
      </c>
      <c r="C15" s="169">
        <f>+C16+C17+C18+C19+C20</f>
        <v>0</v>
      </c>
      <c r="D15" s="256">
        <f>+D16+D17+D18+D19+D20</f>
        <v>0</v>
      </c>
      <c r="E15" s="105">
        <f>+E16+E17+E18+E19+E20</f>
        <v>0</v>
      </c>
    </row>
    <row r="16" spans="1:5" s="53" customFormat="1" ht="12" customHeight="1" x14ac:dyDescent="0.2">
      <c r="A16" s="199" t="s">
        <v>69</v>
      </c>
      <c r="B16" s="182" t="s">
        <v>167</v>
      </c>
      <c r="C16" s="171"/>
      <c r="D16" s="257"/>
      <c r="E16" s="107"/>
    </row>
    <row r="17" spans="1:5" s="53" customFormat="1" ht="12" customHeight="1" x14ac:dyDescent="0.2">
      <c r="A17" s="200" t="s">
        <v>70</v>
      </c>
      <c r="B17" s="183" t="s">
        <v>168</v>
      </c>
      <c r="C17" s="170"/>
      <c r="D17" s="258"/>
      <c r="E17" s="106"/>
    </row>
    <row r="18" spans="1:5" s="53" customFormat="1" ht="12" customHeight="1" x14ac:dyDescent="0.2">
      <c r="A18" s="200" t="s">
        <v>71</v>
      </c>
      <c r="B18" s="183" t="s">
        <v>325</v>
      </c>
      <c r="C18" s="170"/>
      <c r="D18" s="258"/>
      <c r="E18" s="106"/>
    </row>
    <row r="19" spans="1:5" s="53" customFormat="1" ht="12" customHeight="1" x14ac:dyDescent="0.2">
      <c r="A19" s="200" t="s">
        <v>72</v>
      </c>
      <c r="B19" s="183" t="s">
        <v>326</v>
      </c>
      <c r="C19" s="170"/>
      <c r="D19" s="258"/>
      <c r="E19" s="106"/>
    </row>
    <row r="20" spans="1:5" s="53" customFormat="1" ht="12" customHeight="1" x14ac:dyDescent="0.2">
      <c r="A20" s="200" t="s">
        <v>73</v>
      </c>
      <c r="B20" s="183" t="s">
        <v>169</v>
      </c>
      <c r="C20" s="170"/>
      <c r="D20" s="258"/>
      <c r="E20" s="106"/>
    </row>
    <row r="21" spans="1:5" s="54" customFormat="1" ht="12" customHeight="1" thickBot="1" x14ac:dyDescent="0.25">
      <c r="A21" s="201" t="s">
        <v>80</v>
      </c>
      <c r="B21" s="184" t="s">
        <v>170</v>
      </c>
      <c r="C21" s="172"/>
      <c r="D21" s="259"/>
      <c r="E21" s="108"/>
    </row>
    <row r="22" spans="1:5" s="54" customFormat="1" ht="12" customHeight="1" thickBot="1" x14ac:dyDescent="0.25">
      <c r="A22" s="25" t="s">
        <v>8</v>
      </c>
      <c r="B22" s="19" t="s">
        <v>171</v>
      </c>
      <c r="C22" s="169">
        <f>+C23+C24+C25+C26+C27</f>
        <v>0</v>
      </c>
      <c r="D22" s="256">
        <f>+D23+D24+D25+D26+D27</f>
        <v>0</v>
      </c>
      <c r="E22" s="105">
        <f>+E23+E24+E25+E26+E27</f>
        <v>0</v>
      </c>
    </row>
    <row r="23" spans="1:5" s="54" customFormat="1" ht="12" customHeight="1" x14ac:dyDescent="0.2">
      <c r="A23" s="199" t="s">
        <v>52</v>
      </c>
      <c r="B23" s="182" t="s">
        <v>172</v>
      </c>
      <c r="C23" s="171"/>
      <c r="D23" s="257"/>
      <c r="E23" s="107"/>
    </row>
    <row r="24" spans="1:5" s="53" customFormat="1" ht="12" customHeight="1" x14ac:dyDescent="0.2">
      <c r="A24" s="200" t="s">
        <v>53</v>
      </c>
      <c r="B24" s="183" t="s">
        <v>173</v>
      </c>
      <c r="C24" s="170"/>
      <c r="D24" s="258"/>
      <c r="E24" s="106"/>
    </row>
    <row r="25" spans="1:5" s="54" customFormat="1" ht="12" customHeight="1" x14ac:dyDescent="0.2">
      <c r="A25" s="200" t="s">
        <v>54</v>
      </c>
      <c r="B25" s="183" t="s">
        <v>327</v>
      </c>
      <c r="C25" s="170"/>
      <c r="D25" s="258"/>
      <c r="E25" s="106"/>
    </row>
    <row r="26" spans="1:5" s="54" customFormat="1" ht="12" customHeight="1" x14ac:dyDescent="0.2">
      <c r="A26" s="200" t="s">
        <v>55</v>
      </c>
      <c r="B26" s="183" t="s">
        <v>328</v>
      </c>
      <c r="C26" s="170"/>
      <c r="D26" s="258"/>
      <c r="E26" s="106"/>
    </row>
    <row r="27" spans="1:5" s="54" customFormat="1" ht="12" customHeight="1" x14ac:dyDescent="0.2">
      <c r="A27" s="200" t="s">
        <v>109</v>
      </c>
      <c r="B27" s="183" t="s">
        <v>174</v>
      </c>
      <c r="C27" s="170"/>
      <c r="D27" s="258"/>
      <c r="E27" s="106"/>
    </row>
    <row r="28" spans="1:5" s="54" customFormat="1" ht="12" customHeight="1" thickBot="1" x14ac:dyDescent="0.25">
      <c r="A28" s="201" t="s">
        <v>110</v>
      </c>
      <c r="B28" s="184" t="s">
        <v>175</v>
      </c>
      <c r="C28" s="172"/>
      <c r="D28" s="259"/>
      <c r="E28" s="108"/>
    </row>
    <row r="29" spans="1:5" s="54" customFormat="1" ht="12" customHeight="1" thickBot="1" x14ac:dyDescent="0.25">
      <c r="A29" s="25" t="s">
        <v>111</v>
      </c>
      <c r="B29" s="19" t="s">
        <v>475</v>
      </c>
      <c r="C29" s="175">
        <f>SUM(C30:C36)</f>
        <v>0</v>
      </c>
      <c r="D29" s="175">
        <f>SUM(D30:D36)</f>
        <v>0</v>
      </c>
      <c r="E29" s="211">
        <f>SUM(E30:E36)</f>
        <v>0</v>
      </c>
    </row>
    <row r="30" spans="1:5" s="54" customFormat="1" ht="12" customHeight="1" x14ac:dyDescent="0.2">
      <c r="A30" s="199" t="s">
        <v>176</v>
      </c>
      <c r="B30" s="182" t="str">
        <f>'Z_1.1.sz.mell.'!B33</f>
        <v>Építményadó</v>
      </c>
      <c r="C30" s="171"/>
      <c r="D30" s="171"/>
      <c r="E30" s="107"/>
    </row>
    <row r="31" spans="1:5" s="54" customFormat="1" ht="12" customHeight="1" x14ac:dyDescent="0.2">
      <c r="A31" s="200" t="s">
        <v>177</v>
      </c>
      <c r="B31" s="182" t="str">
        <f>'Z_1.1.sz.mell.'!B34</f>
        <v xml:space="preserve">Idegenforgalmi adó </v>
      </c>
      <c r="C31" s="170"/>
      <c r="D31" s="170"/>
      <c r="E31" s="106"/>
    </row>
    <row r="32" spans="1:5" s="54" customFormat="1" ht="12" customHeight="1" x14ac:dyDescent="0.2">
      <c r="A32" s="200" t="s">
        <v>178</v>
      </c>
      <c r="B32" s="182" t="str">
        <f>'Z_1.1.sz.mell.'!B35</f>
        <v>Iparűzési adó</v>
      </c>
      <c r="C32" s="170"/>
      <c r="D32" s="170"/>
      <c r="E32" s="106"/>
    </row>
    <row r="33" spans="1:5" s="54" customFormat="1" ht="12" customHeight="1" x14ac:dyDescent="0.2">
      <c r="A33" s="200" t="s">
        <v>179</v>
      </c>
      <c r="B33" s="182" t="str">
        <f>'Z_1.1.sz.mell.'!B36</f>
        <v>Talajterhelési díj</v>
      </c>
      <c r="C33" s="170"/>
      <c r="D33" s="170"/>
      <c r="E33" s="106"/>
    </row>
    <row r="34" spans="1:5" s="54" customFormat="1" ht="12" customHeight="1" x14ac:dyDescent="0.2">
      <c r="A34" s="200" t="s">
        <v>479</v>
      </c>
      <c r="B34" s="182" t="str">
        <f>'Z_1.1.sz.mell.'!B37</f>
        <v>Gépjárműadó</v>
      </c>
      <c r="C34" s="170"/>
      <c r="D34" s="170"/>
      <c r="E34" s="106"/>
    </row>
    <row r="35" spans="1:5" s="54" customFormat="1" ht="12" customHeight="1" x14ac:dyDescent="0.2">
      <c r="A35" s="200" t="s">
        <v>480</v>
      </c>
      <c r="B35" s="182" t="str">
        <f>'Z_1.1.sz.mell.'!B38</f>
        <v>Telekadó</v>
      </c>
      <c r="C35" s="170"/>
      <c r="D35" s="170"/>
      <c r="E35" s="106"/>
    </row>
    <row r="36" spans="1:5" s="54" customFormat="1" ht="12" customHeight="1" thickBot="1" x14ac:dyDescent="0.25">
      <c r="A36" s="201" t="s">
        <v>481</v>
      </c>
      <c r="B36" s="182" t="str">
        <f>'Z_1.1.sz.mell.'!B39</f>
        <v>Egyéb közhatalmi bevételek</v>
      </c>
      <c r="C36" s="172"/>
      <c r="D36" s="172"/>
      <c r="E36" s="108"/>
    </row>
    <row r="37" spans="1:5" s="54" customFormat="1" ht="12" customHeight="1" thickBot="1" x14ac:dyDescent="0.25">
      <c r="A37" s="25" t="s">
        <v>10</v>
      </c>
      <c r="B37" s="19" t="s">
        <v>335</v>
      </c>
      <c r="C37" s="169">
        <f>SUM(C38:C48)</f>
        <v>0</v>
      </c>
      <c r="D37" s="256">
        <f>SUM(D38:D48)</f>
        <v>0</v>
      </c>
      <c r="E37" s="105">
        <f>SUM(E38:E48)</f>
        <v>0</v>
      </c>
    </row>
    <row r="38" spans="1:5" s="54" customFormat="1" ht="12" customHeight="1" x14ac:dyDescent="0.2">
      <c r="A38" s="199" t="s">
        <v>56</v>
      </c>
      <c r="B38" s="182" t="s">
        <v>183</v>
      </c>
      <c r="C38" s="171"/>
      <c r="D38" s="257"/>
      <c r="E38" s="107"/>
    </row>
    <row r="39" spans="1:5" s="54" customFormat="1" ht="12" customHeight="1" x14ac:dyDescent="0.2">
      <c r="A39" s="200" t="s">
        <v>57</v>
      </c>
      <c r="B39" s="183" t="s">
        <v>184</v>
      </c>
      <c r="C39" s="170"/>
      <c r="D39" s="258"/>
      <c r="E39" s="106"/>
    </row>
    <row r="40" spans="1:5" s="54" customFormat="1" ht="12" customHeight="1" x14ac:dyDescent="0.2">
      <c r="A40" s="200" t="s">
        <v>58</v>
      </c>
      <c r="B40" s="183" t="s">
        <v>185</v>
      </c>
      <c r="C40" s="170"/>
      <c r="D40" s="258"/>
      <c r="E40" s="106"/>
    </row>
    <row r="41" spans="1:5" s="54" customFormat="1" ht="12" customHeight="1" x14ac:dyDescent="0.2">
      <c r="A41" s="200" t="s">
        <v>113</v>
      </c>
      <c r="B41" s="183" t="s">
        <v>186</v>
      </c>
      <c r="C41" s="170"/>
      <c r="D41" s="258"/>
      <c r="E41" s="106"/>
    </row>
    <row r="42" spans="1:5" s="54" customFormat="1" ht="12" customHeight="1" x14ac:dyDescent="0.2">
      <c r="A42" s="200" t="s">
        <v>114</v>
      </c>
      <c r="B42" s="183" t="s">
        <v>187</v>
      </c>
      <c r="C42" s="170"/>
      <c r="D42" s="258"/>
      <c r="E42" s="106"/>
    </row>
    <row r="43" spans="1:5" s="54" customFormat="1" ht="12" customHeight="1" x14ac:dyDescent="0.2">
      <c r="A43" s="200" t="s">
        <v>115</v>
      </c>
      <c r="B43" s="183" t="s">
        <v>188</v>
      </c>
      <c r="C43" s="170"/>
      <c r="D43" s="258"/>
      <c r="E43" s="106"/>
    </row>
    <row r="44" spans="1:5" s="54" customFormat="1" ht="12" customHeight="1" x14ac:dyDescent="0.2">
      <c r="A44" s="200" t="s">
        <v>116</v>
      </c>
      <c r="B44" s="183" t="s">
        <v>189</v>
      </c>
      <c r="C44" s="170"/>
      <c r="D44" s="258"/>
      <c r="E44" s="106"/>
    </row>
    <row r="45" spans="1:5" s="54" customFormat="1" ht="12" customHeight="1" x14ac:dyDescent="0.2">
      <c r="A45" s="200" t="s">
        <v>117</v>
      </c>
      <c r="B45" s="183" t="s">
        <v>482</v>
      </c>
      <c r="C45" s="170"/>
      <c r="D45" s="258"/>
      <c r="E45" s="106"/>
    </row>
    <row r="46" spans="1:5" s="54" customFormat="1" ht="12" customHeight="1" x14ac:dyDescent="0.2">
      <c r="A46" s="200" t="s">
        <v>181</v>
      </c>
      <c r="B46" s="183" t="s">
        <v>191</v>
      </c>
      <c r="C46" s="173"/>
      <c r="D46" s="290"/>
      <c r="E46" s="109"/>
    </row>
    <row r="47" spans="1:5" s="54" customFormat="1" ht="12" customHeight="1" x14ac:dyDescent="0.2">
      <c r="A47" s="201" t="s">
        <v>182</v>
      </c>
      <c r="B47" s="184" t="s">
        <v>337</v>
      </c>
      <c r="C47" s="174"/>
      <c r="D47" s="291"/>
      <c r="E47" s="110"/>
    </row>
    <row r="48" spans="1:5" s="54" customFormat="1" ht="12" customHeight="1" thickBot="1" x14ac:dyDescent="0.25">
      <c r="A48" s="201" t="s">
        <v>336</v>
      </c>
      <c r="B48" s="184" t="s">
        <v>192</v>
      </c>
      <c r="C48" s="174"/>
      <c r="D48" s="291"/>
      <c r="E48" s="110"/>
    </row>
    <row r="49" spans="1:5" s="54" customFormat="1" ht="12" customHeight="1" thickBot="1" x14ac:dyDescent="0.25">
      <c r="A49" s="25" t="s">
        <v>11</v>
      </c>
      <c r="B49" s="19" t="s">
        <v>193</v>
      </c>
      <c r="C49" s="169">
        <f>SUM(C50:C54)</f>
        <v>0</v>
      </c>
      <c r="D49" s="256">
        <f>SUM(D50:D54)</f>
        <v>0</v>
      </c>
      <c r="E49" s="105">
        <f>SUM(E50:E54)</f>
        <v>0</v>
      </c>
    </row>
    <row r="50" spans="1:5" s="54" customFormat="1" ht="12" customHeight="1" x14ac:dyDescent="0.2">
      <c r="A50" s="199" t="s">
        <v>59</v>
      </c>
      <c r="B50" s="182" t="s">
        <v>197</v>
      </c>
      <c r="C50" s="222"/>
      <c r="D50" s="292"/>
      <c r="E50" s="111"/>
    </row>
    <row r="51" spans="1:5" s="54" customFormat="1" ht="12" customHeight="1" x14ac:dyDescent="0.2">
      <c r="A51" s="200" t="s">
        <v>60</v>
      </c>
      <c r="B51" s="183" t="s">
        <v>198</v>
      </c>
      <c r="C51" s="173"/>
      <c r="D51" s="290"/>
      <c r="E51" s="109"/>
    </row>
    <row r="52" spans="1:5" s="54" customFormat="1" ht="12" customHeight="1" x14ac:dyDescent="0.2">
      <c r="A52" s="200" t="s">
        <v>194</v>
      </c>
      <c r="B52" s="183" t="s">
        <v>199</v>
      </c>
      <c r="C52" s="173"/>
      <c r="D52" s="290"/>
      <c r="E52" s="109"/>
    </row>
    <row r="53" spans="1:5" s="54" customFormat="1" ht="12" customHeight="1" x14ac:dyDescent="0.2">
      <c r="A53" s="200" t="s">
        <v>195</v>
      </c>
      <c r="B53" s="183" t="s">
        <v>200</v>
      </c>
      <c r="C53" s="173"/>
      <c r="D53" s="290"/>
      <c r="E53" s="109"/>
    </row>
    <row r="54" spans="1:5" s="54" customFormat="1" ht="12" customHeight="1" thickBot="1" x14ac:dyDescent="0.25">
      <c r="A54" s="201" t="s">
        <v>196</v>
      </c>
      <c r="B54" s="184" t="s">
        <v>201</v>
      </c>
      <c r="C54" s="174"/>
      <c r="D54" s="291"/>
      <c r="E54" s="110"/>
    </row>
    <row r="55" spans="1:5" s="54" customFormat="1" ht="12" customHeight="1" thickBot="1" x14ac:dyDescent="0.25">
      <c r="A55" s="25" t="s">
        <v>118</v>
      </c>
      <c r="B55" s="19" t="s">
        <v>202</v>
      </c>
      <c r="C55" s="169">
        <f>SUM(C56:C58)</f>
        <v>0</v>
      </c>
      <c r="D55" s="256">
        <f>SUM(D56:D58)</f>
        <v>0</v>
      </c>
      <c r="E55" s="105">
        <f>SUM(E56:E58)</f>
        <v>0</v>
      </c>
    </row>
    <row r="56" spans="1:5" s="54" customFormat="1" ht="12" customHeight="1" x14ac:dyDescent="0.2">
      <c r="A56" s="199" t="s">
        <v>61</v>
      </c>
      <c r="B56" s="182" t="s">
        <v>203</v>
      </c>
      <c r="C56" s="171"/>
      <c r="D56" s="257"/>
      <c r="E56" s="107"/>
    </row>
    <row r="57" spans="1:5" s="54" customFormat="1" ht="12" customHeight="1" x14ac:dyDescent="0.2">
      <c r="A57" s="200" t="s">
        <v>62</v>
      </c>
      <c r="B57" s="183" t="s">
        <v>329</v>
      </c>
      <c r="C57" s="170"/>
      <c r="D57" s="258"/>
      <c r="E57" s="106"/>
    </row>
    <row r="58" spans="1:5" s="54" customFormat="1" ht="12" customHeight="1" x14ac:dyDescent="0.2">
      <c r="A58" s="200" t="s">
        <v>206</v>
      </c>
      <c r="B58" s="183" t="s">
        <v>204</v>
      </c>
      <c r="C58" s="170"/>
      <c r="D58" s="258"/>
      <c r="E58" s="106"/>
    </row>
    <row r="59" spans="1:5" s="54" customFormat="1" ht="12" customHeight="1" thickBot="1" x14ac:dyDescent="0.25">
      <c r="A59" s="201" t="s">
        <v>207</v>
      </c>
      <c r="B59" s="184" t="s">
        <v>205</v>
      </c>
      <c r="C59" s="172"/>
      <c r="D59" s="259"/>
      <c r="E59" s="108"/>
    </row>
    <row r="60" spans="1:5" s="54" customFormat="1" ht="12" customHeight="1" thickBot="1" x14ac:dyDescent="0.25">
      <c r="A60" s="25" t="s">
        <v>13</v>
      </c>
      <c r="B60" s="112" t="s">
        <v>208</v>
      </c>
      <c r="C60" s="169">
        <f>SUM(C61:C63)</f>
        <v>0</v>
      </c>
      <c r="D60" s="256">
        <f>SUM(D61:D63)</f>
        <v>0</v>
      </c>
      <c r="E60" s="105">
        <f>SUM(E61:E63)</f>
        <v>0</v>
      </c>
    </row>
    <row r="61" spans="1:5" s="54" customFormat="1" ht="12" customHeight="1" x14ac:dyDescent="0.2">
      <c r="A61" s="199" t="s">
        <v>119</v>
      </c>
      <c r="B61" s="182" t="s">
        <v>210</v>
      </c>
      <c r="C61" s="173"/>
      <c r="D61" s="290"/>
      <c r="E61" s="109"/>
    </row>
    <row r="62" spans="1:5" s="54" customFormat="1" ht="12" customHeight="1" x14ac:dyDescent="0.2">
      <c r="A62" s="200" t="s">
        <v>120</v>
      </c>
      <c r="B62" s="183" t="s">
        <v>330</v>
      </c>
      <c r="C62" s="173"/>
      <c r="D62" s="290"/>
      <c r="E62" s="109"/>
    </row>
    <row r="63" spans="1:5" s="54" customFormat="1" ht="12" customHeight="1" x14ac:dyDescent="0.2">
      <c r="A63" s="200" t="s">
        <v>143</v>
      </c>
      <c r="B63" s="183" t="s">
        <v>211</v>
      </c>
      <c r="C63" s="173"/>
      <c r="D63" s="290"/>
      <c r="E63" s="109"/>
    </row>
    <row r="64" spans="1:5" s="54" customFormat="1" ht="12" customHeight="1" thickBot="1" x14ac:dyDescent="0.25">
      <c r="A64" s="201" t="s">
        <v>209</v>
      </c>
      <c r="B64" s="184" t="s">
        <v>212</v>
      </c>
      <c r="C64" s="173"/>
      <c r="D64" s="290"/>
      <c r="E64" s="109"/>
    </row>
    <row r="65" spans="1:5" s="54" customFormat="1" ht="12" customHeight="1" thickBot="1" x14ac:dyDescent="0.25">
      <c r="A65" s="25" t="s">
        <v>14</v>
      </c>
      <c r="B65" s="19" t="s">
        <v>213</v>
      </c>
      <c r="C65" s="175">
        <f>+C8+C15+C22+C29+C37+C49+C55+C60</f>
        <v>0</v>
      </c>
      <c r="D65" s="260">
        <f>+D8+D15+D22+D29+D37+D49+D55+D60</f>
        <v>0</v>
      </c>
      <c r="E65" s="211">
        <f>+E8+E15+E22+E29+E37+E49+E55+E60</f>
        <v>0</v>
      </c>
    </row>
    <row r="66" spans="1:5" s="54" customFormat="1" ht="12" customHeight="1" thickBot="1" x14ac:dyDescent="0.2">
      <c r="A66" s="202" t="s">
        <v>298</v>
      </c>
      <c r="B66" s="112" t="s">
        <v>215</v>
      </c>
      <c r="C66" s="169">
        <f>SUM(C67:C69)</f>
        <v>0</v>
      </c>
      <c r="D66" s="256">
        <f>SUM(D67:D69)</f>
        <v>0</v>
      </c>
      <c r="E66" s="105">
        <f>SUM(E67:E69)</f>
        <v>0</v>
      </c>
    </row>
    <row r="67" spans="1:5" s="54" customFormat="1" ht="12" customHeight="1" x14ac:dyDescent="0.2">
      <c r="A67" s="199" t="s">
        <v>243</v>
      </c>
      <c r="B67" s="182" t="s">
        <v>216</v>
      </c>
      <c r="C67" s="173"/>
      <c r="D67" s="290"/>
      <c r="E67" s="109"/>
    </row>
    <row r="68" spans="1:5" s="54" customFormat="1" ht="12" customHeight="1" x14ac:dyDescent="0.2">
      <c r="A68" s="200" t="s">
        <v>252</v>
      </c>
      <c r="B68" s="183" t="s">
        <v>217</v>
      </c>
      <c r="C68" s="173"/>
      <c r="D68" s="290"/>
      <c r="E68" s="109"/>
    </row>
    <row r="69" spans="1:5" s="54" customFormat="1" ht="12" customHeight="1" thickBot="1" x14ac:dyDescent="0.25">
      <c r="A69" s="201" t="s">
        <v>253</v>
      </c>
      <c r="B69" s="185" t="s">
        <v>218</v>
      </c>
      <c r="C69" s="173"/>
      <c r="D69" s="293"/>
      <c r="E69" s="109"/>
    </row>
    <row r="70" spans="1:5" s="54" customFormat="1" ht="12" customHeight="1" thickBot="1" x14ac:dyDescent="0.2">
      <c r="A70" s="202" t="s">
        <v>219</v>
      </c>
      <c r="B70" s="112" t="s">
        <v>220</v>
      </c>
      <c r="C70" s="169">
        <f>SUM(C71:C74)</f>
        <v>0</v>
      </c>
      <c r="D70" s="169">
        <f>SUM(D71:D74)</f>
        <v>0</v>
      </c>
      <c r="E70" s="105">
        <f>SUM(E71:E74)</f>
        <v>0</v>
      </c>
    </row>
    <row r="71" spans="1:5" s="54" customFormat="1" ht="12" customHeight="1" x14ac:dyDescent="0.2">
      <c r="A71" s="199" t="s">
        <v>97</v>
      </c>
      <c r="B71" s="311" t="s">
        <v>221</v>
      </c>
      <c r="C71" s="173"/>
      <c r="D71" s="173"/>
      <c r="E71" s="109"/>
    </row>
    <row r="72" spans="1:5" s="54" customFormat="1" ht="12" customHeight="1" x14ac:dyDescent="0.2">
      <c r="A72" s="200" t="s">
        <v>98</v>
      </c>
      <c r="B72" s="311" t="s">
        <v>489</v>
      </c>
      <c r="C72" s="173"/>
      <c r="D72" s="173"/>
      <c r="E72" s="109"/>
    </row>
    <row r="73" spans="1:5" s="54" customFormat="1" ht="12" customHeight="1" x14ac:dyDescent="0.2">
      <c r="A73" s="200" t="s">
        <v>244</v>
      </c>
      <c r="B73" s="311" t="s">
        <v>222</v>
      </c>
      <c r="C73" s="173"/>
      <c r="D73" s="173"/>
      <c r="E73" s="109"/>
    </row>
    <row r="74" spans="1:5" s="54" customFormat="1" ht="12" customHeight="1" thickBot="1" x14ac:dyDescent="0.25">
      <c r="A74" s="201" t="s">
        <v>245</v>
      </c>
      <c r="B74" s="312" t="s">
        <v>490</v>
      </c>
      <c r="C74" s="173"/>
      <c r="D74" s="173"/>
      <c r="E74" s="109"/>
    </row>
    <row r="75" spans="1:5" s="54" customFormat="1" ht="12" customHeight="1" thickBot="1" x14ac:dyDescent="0.2">
      <c r="A75" s="202" t="s">
        <v>223</v>
      </c>
      <c r="B75" s="112" t="s">
        <v>224</v>
      </c>
      <c r="C75" s="169">
        <f>SUM(C76:C77)</f>
        <v>0</v>
      </c>
      <c r="D75" s="169">
        <f>SUM(D76:D77)</f>
        <v>0</v>
      </c>
      <c r="E75" s="105">
        <f>SUM(E76:E77)</f>
        <v>0</v>
      </c>
    </row>
    <row r="76" spans="1:5" s="54" customFormat="1" ht="12" customHeight="1" x14ac:dyDescent="0.2">
      <c r="A76" s="199" t="s">
        <v>246</v>
      </c>
      <c r="B76" s="182" t="s">
        <v>225</v>
      </c>
      <c r="C76" s="173"/>
      <c r="D76" s="173"/>
      <c r="E76" s="109"/>
    </row>
    <row r="77" spans="1:5" s="54" customFormat="1" ht="12" customHeight="1" thickBot="1" x14ac:dyDescent="0.25">
      <c r="A77" s="201" t="s">
        <v>247</v>
      </c>
      <c r="B77" s="184" t="s">
        <v>226</v>
      </c>
      <c r="C77" s="173"/>
      <c r="D77" s="173"/>
      <c r="E77" s="109"/>
    </row>
    <row r="78" spans="1:5" s="53" customFormat="1" ht="12" customHeight="1" thickBot="1" x14ac:dyDescent="0.2">
      <c r="A78" s="202" t="s">
        <v>227</v>
      </c>
      <c r="B78" s="112" t="s">
        <v>228</v>
      </c>
      <c r="C78" s="169">
        <f>SUM(C79:C81)</f>
        <v>0</v>
      </c>
      <c r="D78" s="169">
        <f>SUM(D79:D81)</f>
        <v>0</v>
      </c>
      <c r="E78" s="105">
        <f>SUM(E79:E81)</f>
        <v>0</v>
      </c>
    </row>
    <row r="79" spans="1:5" s="54" customFormat="1" ht="12" customHeight="1" x14ac:dyDescent="0.2">
      <c r="A79" s="199" t="s">
        <v>248</v>
      </c>
      <c r="B79" s="182" t="s">
        <v>229</v>
      </c>
      <c r="C79" s="173"/>
      <c r="D79" s="173"/>
      <c r="E79" s="109"/>
    </row>
    <row r="80" spans="1:5" s="54" customFormat="1" ht="12" customHeight="1" x14ac:dyDescent="0.2">
      <c r="A80" s="200" t="s">
        <v>249</v>
      </c>
      <c r="B80" s="183" t="s">
        <v>230</v>
      </c>
      <c r="C80" s="173"/>
      <c r="D80" s="173"/>
      <c r="E80" s="109"/>
    </row>
    <row r="81" spans="1:5" s="54" customFormat="1" ht="12" customHeight="1" thickBot="1" x14ac:dyDescent="0.25">
      <c r="A81" s="201" t="s">
        <v>250</v>
      </c>
      <c r="B81" s="184" t="s">
        <v>491</v>
      </c>
      <c r="C81" s="173"/>
      <c r="D81" s="173"/>
      <c r="E81" s="109"/>
    </row>
    <row r="82" spans="1:5" s="54" customFormat="1" ht="12" customHeight="1" thickBot="1" x14ac:dyDescent="0.2">
      <c r="A82" s="202" t="s">
        <v>231</v>
      </c>
      <c r="B82" s="112" t="s">
        <v>251</v>
      </c>
      <c r="C82" s="169">
        <f>SUM(C83:C86)</f>
        <v>0</v>
      </c>
      <c r="D82" s="169">
        <f>SUM(D83:D86)</f>
        <v>0</v>
      </c>
      <c r="E82" s="105">
        <f>SUM(E83:E86)</f>
        <v>0</v>
      </c>
    </row>
    <row r="83" spans="1:5" s="54" customFormat="1" ht="12" customHeight="1" x14ac:dyDescent="0.2">
      <c r="A83" s="203" t="s">
        <v>232</v>
      </c>
      <c r="B83" s="182" t="s">
        <v>233</v>
      </c>
      <c r="C83" s="173"/>
      <c r="D83" s="173"/>
      <c r="E83" s="109"/>
    </row>
    <row r="84" spans="1:5" s="54" customFormat="1" ht="12" customHeight="1" x14ac:dyDescent="0.2">
      <c r="A84" s="204" t="s">
        <v>234</v>
      </c>
      <c r="B84" s="183" t="s">
        <v>235</v>
      </c>
      <c r="C84" s="173"/>
      <c r="D84" s="173"/>
      <c r="E84" s="109"/>
    </row>
    <row r="85" spans="1:5" s="54" customFormat="1" ht="12" customHeight="1" x14ac:dyDescent="0.2">
      <c r="A85" s="204" t="s">
        <v>236</v>
      </c>
      <c r="B85" s="183" t="s">
        <v>237</v>
      </c>
      <c r="C85" s="173"/>
      <c r="D85" s="173"/>
      <c r="E85" s="109"/>
    </row>
    <row r="86" spans="1:5" s="53" customFormat="1" ht="12" customHeight="1" thickBot="1" x14ac:dyDescent="0.25">
      <c r="A86" s="205" t="s">
        <v>238</v>
      </c>
      <c r="B86" s="184" t="s">
        <v>239</v>
      </c>
      <c r="C86" s="173"/>
      <c r="D86" s="173"/>
      <c r="E86" s="109"/>
    </row>
    <row r="87" spans="1:5" s="53" customFormat="1" ht="12" customHeight="1" thickBot="1" x14ac:dyDescent="0.2">
      <c r="A87" s="202" t="s">
        <v>240</v>
      </c>
      <c r="B87" s="112" t="s">
        <v>376</v>
      </c>
      <c r="C87" s="225"/>
      <c r="D87" s="225"/>
      <c r="E87" s="226"/>
    </row>
    <row r="88" spans="1:5" s="53" customFormat="1" ht="12" customHeight="1" thickBot="1" x14ac:dyDescent="0.2">
      <c r="A88" s="202" t="s">
        <v>394</v>
      </c>
      <c r="B88" s="112" t="s">
        <v>241</v>
      </c>
      <c r="C88" s="225"/>
      <c r="D88" s="225"/>
      <c r="E88" s="226"/>
    </row>
    <row r="89" spans="1:5" s="53" customFormat="1" ht="12" customHeight="1" thickBot="1" x14ac:dyDescent="0.2">
      <c r="A89" s="202" t="s">
        <v>395</v>
      </c>
      <c r="B89" s="189" t="s">
        <v>379</v>
      </c>
      <c r="C89" s="175">
        <f>+C66+C70+C75+C78+C82+C88+C87</f>
        <v>0</v>
      </c>
      <c r="D89" s="175">
        <f>+D66+D70+D75+D78+D82+D88+D87</f>
        <v>0</v>
      </c>
      <c r="E89" s="211">
        <f>+E66+E70+E75+E78+E82+E88+E87</f>
        <v>0</v>
      </c>
    </row>
    <row r="90" spans="1:5" s="53" customFormat="1" ht="12" customHeight="1" thickBot="1" x14ac:dyDescent="0.2">
      <c r="A90" s="206" t="s">
        <v>396</v>
      </c>
      <c r="B90" s="190" t="s">
        <v>397</v>
      </c>
      <c r="C90" s="175">
        <f>+C65+C89</f>
        <v>0</v>
      </c>
      <c r="D90" s="175">
        <f>+D65+D89</f>
        <v>0</v>
      </c>
      <c r="E90" s="211">
        <f>+E65+E89</f>
        <v>0</v>
      </c>
    </row>
    <row r="91" spans="1:5" s="54" customFormat="1" ht="15.2" customHeight="1" thickBot="1" x14ac:dyDescent="0.25">
      <c r="A91" s="89"/>
      <c r="B91" s="90"/>
      <c r="C91" s="151"/>
    </row>
    <row r="92" spans="1:5" s="47" customFormat="1" ht="16.5" customHeight="1" thickBot="1" x14ac:dyDescent="0.25">
      <c r="A92" s="862" t="s">
        <v>40</v>
      </c>
      <c r="B92" s="863"/>
      <c r="C92" s="863"/>
      <c r="D92" s="863"/>
      <c r="E92" s="864"/>
    </row>
    <row r="93" spans="1:5" s="55" customFormat="1" ht="12" customHeight="1" thickBot="1" x14ac:dyDescent="0.25">
      <c r="A93" s="176" t="s">
        <v>6</v>
      </c>
      <c r="B93" s="24" t="s">
        <v>401</v>
      </c>
      <c r="C93" s="168">
        <f>+C94+C95+C96+C97+C98+C111</f>
        <v>0</v>
      </c>
      <c r="D93" s="168">
        <f>+D94+D95+D96+D97+D98+D111</f>
        <v>0</v>
      </c>
      <c r="E93" s="239">
        <f>+E94+E95+E96+E97+E98+E111</f>
        <v>0</v>
      </c>
    </row>
    <row r="94" spans="1:5" ht="12" customHeight="1" x14ac:dyDescent="0.2">
      <c r="A94" s="207" t="s">
        <v>63</v>
      </c>
      <c r="B94" s="8" t="s">
        <v>35</v>
      </c>
      <c r="C94" s="246"/>
      <c r="D94" s="246"/>
      <c r="E94" s="240"/>
    </row>
    <row r="95" spans="1:5" ht="12" customHeight="1" x14ac:dyDescent="0.2">
      <c r="A95" s="200" t="s">
        <v>64</v>
      </c>
      <c r="B95" s="6" t="s">
        <v>121</v>
      </c>
      <c r="C95" s="170"/>
      <c r="D95" s="170"/>
      <c r="E95" s="106"/>
    </row>
    <row r="96" spans="1:5" ht="12" customHeight="1" x14ac:dyDescent="0.2">
      <c r="A96" s="200" t="s">
        <v>65</v>
      </c>
      <c r="B96" s="6" t="s">
        <v>89</v>
      </c>
      <c r="C96" s="172"/>
      <c r="D96" s="170"/>
      <c r="E96" s="108"/>
    </row>
    <row r="97" spans="1:5" ht="12" customHeight="1" x14ac:dyDescent="0.2">
      <c r="A97" s="200" t="s">
        <v>66</v>
      </c>
      <c r="B97" s="9" t="s">
        <v>122</v>
      </c>
      <c r="C97" s="172"/>
      <c r="D97" s="259"/>
      <c r="E97" s="108"/>
    </row>
    <row r="98" spans="1:5" ht="12" customHeight="1" x14ac:dyDescent="0.2">
      <c r="A98" s="200" t="s">
        <v>75</v>
      </c>
      <c r="B98" s="17" t="s">
        <v>123</v>
      </c>
      <c r="C98" s="172"/>
      <c r="D98" s="259"/>
      <c r="E98" s="108"/>
    </row>
    <row r="99" spans="1:5" ht="12" customHeight="1" x14ac:dyDescent="0.2">
      <c r="A99" s="200" t="s">
        <v>67</v>
      </c>
      <c r="B99" s="6" t="s">
        <v>398</v>
      </c>
      <c r="C99" s="172"/>
      <c r="D99" s="259"/>
      <c r="E99" s="108"/>
    </row>
    <row r="100" spans="1:5" ht="12" customHeight="1" x14ac:dyDescent="0.2">
      <c r="A100" s="200" t="s">
        <v>68</v>
      </c>
      <c r="B100" s="65" t="s">
        <v>342</v>
      </c>
      <c r="C100" s="172"/>
      <c r="D100" s="259"/>
      <c r="E100" s="108"/>
    </row>
    <row r="101" spans="1:5" ht="12" customHeight="1" x14ac:dyDescent="0.2">
      <c r="A101" s="200" t="s">
        <v>76</v>
      </c>
      <c r="B101" s="65" t="s">
        <v>341</v>
      </c>
      <c r="C101" s="172"/>
      <c r="D101" s="259"/>
      <c r="E101" s="108"/>
    </row>
    <row r="102" spans="1:5" ht="12" customHeight="1" x14ac:dyDescent="0.2">
      <c r="A102" s="200" t="s">
        <v>77</v>
      </c>
      <c r="B102" s="65" t="s">
        <v>257</v>
      </c>
      <c r="C102" s="172"/>
      <c r="D102" s="259"/>
      <c r="E102" s="108"/>
    </row>
    <row r="103" spans="1:5" ht="12" customHeight="1" x14ac:dyDescent="0.2">
      <c r="A103" s="200" t="s">
        <v>78</v>
      </c>
      <c r="B103" s="66" t="s">
        <v>258</v>
      </c>
      <c r="C103" s="172"/>
      <c r="D103" s="259"/>
      <c r="E103" s="108"/>
    </row>
    <row r="104" spans="1:5" ht="12" customHeight="1" x14ac:dyDescent="0.2">
      <c r="A104" s="200" t="s">
        <v>79</v>
      </c>
      <c r="B104" s="66" t="s">
        <v>259</v>
      </c>
      <c r="C104" s="172"/>
      <c r="D104" s="259"/>
      <c r="E104" s="108"/>
    </row>
    <row r="105" spans="1:5" ht="12" customHeight="1" x14ac:dyDescent="0.2">
      <c r="A105" s="200" t="s">
        <v>81</v>
      </c>
      <c r="B105" s="65" t="s">
        <v>260</v>
      </c>
      <c r="C105" s="172"/>
      <c r="D105" s="259"/>
      <c r="E105" s="108"/>
    </row>
    <row r="106" spans="1:5" ht="12" customHeight="1" x14ac:dyDescent="0.2">
      <c r="A106" s="200" t="s">
        <v>124</v>
      </c>
      <c r="B106" s="65" t="s">
        <v>261</v>
      </c>
      <c r="C106" s="172"/>
      <c r="D106" s="259"/>
      <c r="E106" s="108"/>
    </row>
    <row r="107" spans="1:5" ht="12" customHeight="1" x14ac:dyDescent="0.2">
      <c r="A107" s="200" t="s">
        <v>255</v>
      </c>
      <c r="B107" s="66" t="s">
        <v>262</v>
      </c>
      <c r="C107" s="170"/>
      <c r="D107" s="259"/>
      <c r="E107" s="108"/>
    </row>
    <row r="108" spans="1:5" ht="12" customHeight="1" x14ac:dyDescent="0.2">
      <c r="A108" s="208" t="s">
        <v>256</v>
      </c>
      <c r="B108" s="67" t="s">
        <v>263</v>
      </c>
      <c r="C108" s="172"/>
      <c r="D108" s="259"/>
      <c r="E108" s="108"/>
    </row>
    <row r="109" spans="1:5" ht="12" customHeight="1" x14ac:dyDescent="0.2">
      <c r="A109" s="200" t="s">
        <v>339</v>
      </c>
      <c r="B109" s="67" t="s">
        <v>264</v>
      </c>
      <c r="C109" s="172"/>
      <c r="D109" s="259"/>
      <c r="E109" s="108"/>
    </row>
    <row r="110" spans="1:5" ht="12" customHeight="1" x14ac:dyDescent="0.2">
      <c r="A110" s="200" t="s">
        <v>340</v>
      </c>
      <c r="B110" s="66" t="s">
        <v>265</v>
      </c>
      <c r="C110" s="170"/>
      <c r="D110" s="258"/>
      <c r="E110" s="106"/>
    </row>
    <row r="111" spans="1:5" ht="12" customHeight="1" x14ac:dyDescent="0.2">
      <c r="A111" s="200" t="s">
        <v>344</v>
      </c>
      <c r="B111" s="9" t="s">
        <v>36</v>
      </c>
      <c r="C111" s="170"/>
      <c r="D111" s="258"/>
      <c r="E111" s="106"/>
    </row>
    <row r="112" spans="1:5" ht="12" customHeight="1" x14ac:dyDescent="0.2">
      <c r="A112" s="201" t="s">
        <v>345</v>
      </c>
      <c r="B112" s="6" t="s">
        <v>399</v>
      </c>
      <c r="C112" s="172"/>
      <c r="D112" s="259"/>
      <c r="E112" s="108"/>
    </row>
    <row r="113" spans="1:5" ht="12" customHeight="1" thickBot="1" x14ac:dyDescent="0.25">
      <c r="A113" s="209" t="s">
        <v>346</v>
      </c>
      <c r="B113" s="68" t="s">
        <v>400</v>
      </c>
      <c r="C113" s="247"/>
      <c r="D113" s="296"/>
      <c r="E113" s="241"/>
    </row>
    <row r="114" spans="1:5" ht="12" customHeight="1" thickBot="1" x14ac:dyDescent="0.25">
      <c r="A114" s="25" t="s">
        <v>7</v>
      </c>
      <c r="B114" s="23" t="s">
        <v>266</v>
      </c>
      <c r="C114" s="169">
        <f>+C115+C117+C119</f>
        <v>0</v>
      </c>
      <c r="D114" s="256">
        <f>+D115+D117+D119</f>
        <v>0</v>
      </c>
      <c r="E114" s="105">
        <f>+E115+E117+E119</f>
        <v>0</v>
      </c>
    </row>
    <row r="115" spans="1:5" ht="12" customHeight="1" x14ac:dyDescent="0.2">
      <c r="A115" s="199" t="s">
        <v>69</v>
      </c>
      <c r="B115" s="6" t="s">
        <v>142</v>
      </c>
      <c r="C115" s="171"/>
      <c r="D115" s="257"/>
      <c r="E115" s="107"/>
    </row>
    <row r="116" spans="1:5" ht="12" customHeight="1" x14ac:dyDescent="0.2">
      <c r="A116" s="199" t="s">
        <v>70</v>
      </c>
      <c r="B116" s="10" t="s">
        <v>270</v>
      </c>
      <c r="C116" s="171"/>
      <c r="D116" s="257"/>
      <c r="E116" s="107"/>
    </row>
    <row r="117" spans="1:5" ht="12" customHeight="1" x14ac:dyDescent="0.2">
      <c r="A117" s="199" t="s">
        <v>71</v>
      </c>
      <c r="B117" s="10" t="s">
        <v>125</v>
      </c>
      <c r="C117" s="170"/>
      <c r="D117" s="258"/>
      <c r="E117" s="106"/>
    </row>
    <row r="118" spans="1:5" ht="12" customHeight="1" x14ac:dyDescent="0.2">
      <c r="A118" s="199" t="s">
        <v>72</v>
      </c>
      <c r="B118" s="10" t="s">
        <v>271</v>
      </c>
      <c r="C118" s="170"/>
      <c r="D118" s="258"/>
      <c r="E118" s="106"/>
    </row>
    <row r="119" spans="1:5" ht="12" customHeight="1" x14ac:dyDescent="0.2">
      <c r="A119" s="199" t="s">
        <v>73</v>
      </c>
      <c r="B119" s="114" t="s">
        <v>144</v>
      </c>
      <c r="C119" s="170"/>
      <c r="D119" s="258"/>
      <c r="E119" s="106"/>
    </row>
    <row r="120" spans="1:5" ht="12" customHeight="1" x14ac:dyDescent="0.2">
      <c r="A120" s="199" t="s">
        <v>80</v>
      </c>
      <c r="B120" s="113" t="s">
        <v>331</v>
      </c>
      <c r="C120" s="170"/>
      <c r="D120" s="258"/>
      <c r="E120" s="106"/>
    </row>
    <row r="121" spans="1:5" ht="12" customHeight="1" x14ac:dyDescent="0.2">
      <c r="A121" s="199" t="s">
        <v>82</v>
      </c>
      <c r="B121" s="178" t="s">
        <v>276</v>
      </c>
      <c r="C121" s="170"/>
      <c r="D121" s="258"/>
      <c r="E121" s="106"/>
    </row>
    <row r="122" spans="1:5" ht="12" customHeight="1" x14ac:dyDescent="0.2">
      <c r="A122" s="199" t="s">
        <v>126</v>
      </c>
      <c r="B122" s="66" t="s">
        <v>259</v>
      </c>
      <c r="C122" s="170"/>
      <c r="D122" s="258"/>
      <c r="E122" s="106"/>
    </row>
    <row r="123" spans="1:5" ht="12" customHeight="1" x14ac:dyDescent="0.2">
      <c r="A123" s="199" t="s">
        <v>127</v>
      </c>
      <c r="B123" s="66" t="s">
        <v>275</v>
      </c>
      <c r="C123" s="170"/>
      <c r="D123" s="258"/>
      <c r="E123" s="106"/>
    </row>
    <row r="124" spans="1:5" ht="12" customHeight="1" x14ac:dyDescent="0.2">
      <c r="A124" s="199" t="s">
        <v>128</v>
      </c>
      <c r="B124" s="66" t="s">
        <v>274</v>
      </c>
      <c r="C124" s="170"/>
      <c r="D124" s="258"/>
      <c r="E124" s="106"/>
    </row>
    <row r="125" spans="1:5" ht="12" customHeight="1" x14ac:dyDescent="0.2">
      <c r="A125" s="199" t="s">
        <v>267</v>
      </c>
      <c r="B125" s="66" t="s">
        <v>262</v>
      </c>
      <c r="C125" s="170"/>
      <c r="D125" s="258"/>
      <c r="E125" s="106"/>
    </row>
    <row r="126" spans="1:5" ht="12" customHeight="1" x14ac:dyDescent="0.2">
      <c r="A126" s="199" t="s">
        <v>268</v>
      </c>
      <c r="B126" s="66" t="s">
        <v>273</v>
      </c>
      <c r="C126" s="170"/>
      <c r="D126" s="258"/>
      <c r="E126" s="106"/>
    </row>
    <row r="127" spans="1:5" ht="12" customHeight="1" thickBot="1" x14ac:dyDescent="0.25">
      <c r="A127" s="208" t="s">
        <v>269</v>
      </c>
      <c r="B127" s="66" t="s">
        <v>272</v>
      </c>
      <c r="C127" s="172"/>
      <c r="D127" s="259"/>
      <c r="E127" s="108"/>
    </row>
    <row r="128" spans="1:5" ht="12" customHeight="1" thickBot="1" x14ac:dyDescent="0.25">
      <c r="A128" s="25" t="s">
        <v>8</v>
      </c>
      <c r="B128" s="59" t="s">
        <v>349</v>
      </c>
      <c r="C128" s="169">
        <f>+C93+C114</f>
        <v>0</v>
      </c>
      <c r="D128" s="256">
        <f>+D93+D114</f>
        <v>0</v>
      </c>
      <c r="E128" s="105">
        <f>+E93+E114</f>
        <v>0</v>
      </c>
    </row>
    <row r="129" spans="1:11" ht="12" customHeight="1" thickBot="1" x14ac:dyDescent="0.25">
      <c r="A129" s="25" t="s">
        <v>9</v>
      </c>
      <c r="B129" s="59" t="s">
        <v>350</v>
      </c>
      <c r="C129" s="169">
        <f>+C130+C131+C132</f>
        <v>0</v>
      </c>
      <c r="D129" s="256">
        <f>+D130+D131+D132</f>
        <v>0</v>
      </c>
      <c r="E129" s="105">
        <f>+E130+E131+E132</f>
        <v>0</v>
      </c>
    </row>
    <row r="130" spans="1:11" s="55" customFormat="1" ht="12" customHeight="1" x14ac:dyDescent="0.2">
      <c r="A130" s="199" t="s">
        <v>176</v>
      </c>
      <c r="B130" s="7" t="s">
        <v>404</v>
      </c>
      <c r="C130" s="170"/>
      <c r="D130" s="258"/>
      <c r="E130" s="106"/>
    </row>
    <row r="131" spans="1:11" ht="12" customHeight="1" x14ac:dyDescent="0.2">
      <c r="A131" s="199" t="s">
        <v>177</v>
      </c>
      <c r="B131" s="7" t="s">
        <v>358</v>
      </c>
      <c r="C131" s="170"/>
      <c r="D131" s="258"/>
      <c r="E131" s="106"/>
    </row>
    <row r="132" spans="1:11" ht="12" customHeight="1" thickBot="1" x14ac:dyDescent="0.25">
      <c r="A132" s="208" t="s">
        <v>178</v>
      </c>
      <c r="B132" s="5" t="s">
        <v>403</v>
      </c>
      <c r="C132" s="170"/>
      <c r="D132" s="258"/>
      <c r="E132" s="106"/>
    </row>
    <row r="133" spans="1:11" ht="12" customHeight="1" thickBot="1" x14ac:dyDescent="0.25">
      <c r="A133" s="25" t="s">
        <v>10</v>
      </c>
      <c r="B133" s="59" t="s">
        <v>351</v>
      </c>
      <c r="C133" s="169">
        <f>+C134+C135+C136+C137+C138+C139</f>
        <v>0</v>
      </c>
      <c r="D133" s="256">
        <f>+D134+D135+D136+D137+D138+D139</f>
        <v>0</v>
      </c>
      <c r="E133" s="105">
        <f>+E134+E135+E136+E137+E138+E139</f>
        <v>0</v>
      </c>
    </row>
    <row r="134" spans="1:11" ht="12" customHeight="1" x14ac:dyDescent="0.2">
      <c r="A134" s="199" t="s">
        <v>56</v>
      </c>
      <c r="B134" s="7" t="s">
        <v>360</v>
      </c>
      <c r="C134" s="170"/>
      <c r="D134" s="258"/>
      <c r="E134" s="106"/>
    </row>
    <row r="135" spans="1:11" ht="12" customHeight="1" x14ac:dyDescent="0.2">
      <c r="A135" s="199" t="s">
        <v>57</v>
      </c>
      <c r="B135" s="7" t="s">
        <v>352</v>
      </c>
      <c r="C135" s="170"/>
      <c r="D135" s="258"/>
      <c r="E135" s="106"/>
    </row>
    <row r="136" spans="1:11" ht="12" customHeight="1" x14ac:dyDescent="0.2">
      <c r="A136" s="199" t="s">
        <v>58</v>
      </c>
      <c r="B136" s="7" t="s">
        <v>353</v>
      </c>
      <c r="C136" s="170"/>
      <c r="D136" s="258"/>
      <c r="E136" s="106"/>
    </row>
    <row r="137" spans="1:11" ht="12" customHeight="1" x14ac:dyDescent="0.2">
      <c r="A137" s="199" t="s">
        <v>113</v>
      </c>
      <c r="B137" s="7" t="s">
        <v>402</v>
      </c>
      <c r="C137" s="170"/>
      <c r="D137" s="258"/>
      <c r="E137" s="106"/>
    </row>
    <row r="138" spans="1:11" ht="12" customHeight="1" x14ac:dyDescent="0.2">
      <c r="A138" s="199" t="s">
        <v>114</v>
      </c>
      <c r="B138" s="7" t="s">
        <v>355</v>
      </c>
      <c r="C138" s="170"/>
      <c r="D138" s="258"/>
      <c r="E138" s="106"/>
    </row>
    <row r="139" spans="1:11" s="55" customFormat="1" ht="12" customHeight="1" thickBot="1" x14ac:dyDescent="0.25">
      <c r="A139" s="208" t="s">
        <v>115</v>
      </c>
      <c r="B139" s="5" t="s">
        <v>356</v>
      </c>
      <c r="C139" s="170"/>
      <c r="D139" s="258"/>
      <c r="E139" s="106"/>
    </row>
    <row r="140" spans="1:11" ht="12" customHeight="1" thickBot="1" x14ac:dyDescent="0.25">
      <c r="A140" s="25" t="s">
        <v>11</v>
      </c>
      <c r="B140" s="59" t="s">
        <v>417</v>
      </c>
      <c r="C140" s="175">
        <f>+C141+C142+C144+C145+C143</f>
        <v>0</v>
      </c>
      <c r="D140" s="260">
        <f>+D141+D142+D144+D145+D143</f>
        <v>0</v>
      </c>
      <c r="E140" s="211">
        <f>+E141+E142+E144+E145+E143</f>
        <v>0</v>
      </c>
      <c r="K140" s="98"/>
    </row>
    <row r="141" spans="1:11" x14ac:dyDescent="0.2">
      <c r="A141" s="199" t="s">
        <v>59</v>
      </c>
      <c r="B141" s="7" t="s">
        <v>277</v>
      </c>
      <c r="C141" s="170"/>
      <c r="D141" s="258"/>
      <c r="E141" s="106"/>
    </row>
    <row r="142" spans="1:11" ht="12" customHeight="1" x14ac:dyDescent="0.2">
      <c r="A142" s="199" t="s">
        <v>60</v>
      </c>
      <c r="B142" s="7" t="s">
        <v>278</v>
      </c>
      <c r="C142" s="170"/>
      <c r="D142" s="258"/>
      <c r="E142" s="106"/>
    </row>
    <row r="143" spans="1:11" ht="12" customHeight="1" x14ac:dyDescent="0.2">
      <c r="A143" s="199" t="s">
        <v>194</v>
      </c>
      <c r="B143" s="7" t="s">
        <v>416</v>
      </c>
      <c r="C143" s="170"/>
      <c r="D143" s="258"/>
      <c r="E143" s="106"/>
    </row>
    <row r="144" spans="1:11" s="55" customFormat="1" ht="12" customHeight="1" x14ac:dyDescent="0.2">
      <c r="A144" s="199" t="s">
        <v>195</v>
      </c>
      <c r="B144" s="7" t="s">
        <v>365</v>
      </c>
      <c r="C144" s="170"/>
      <c r="D144" s="258"/>
      <c r="E144" s="106"/>
    </row>
    <row r="145" spans="1:5" s="55" customFormat="1" ht="12" customHeight="1" thickBot="1" x14ac:dyDescent="0.25">
      <c r="A145" s="208" t="s">
        <v>196</v>
      </c>
      <c r="B145" s="5" t="s">
        <v>294</v>
      </c>
      <c r="C145" s="170"/>
      <c r="D145" s="258"/>
      <c r="E145" s="106"/>
    </row>
    <row r="146" spans="1:5" s="55" customFormat="1" ht="12" customHeight="1" thickBot="1" x14ac:dyDescent="0.25">
      <c r="A146" s="25" t="s">
        <v>12</v>
      </c>
      <c r="B146" s="59" t="s">
        <v>366</v>
      </c>
      <c r="C146" s="249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5" customFormat="1" ht="12" customHeight="1" x14ac:dyDescent="0.2">
      <c r="A147" s="199" t="s">
        <v>61</v>
      </c>
      <c r="B147" s="7" t="s">
        <v>361</v>
      </c>
      <c r="C147" s="170"/>
      <c r="D147" s="258"/>
      <c r="E147" s="106"/>
    </row>
    <row r="148" spans="1:5" s="55" customFormat="1" ht="12" customHeight="1" x14ac:dyDescent="0.2">
      <c r="A148" s="199" t="s">
        <v>62</v>
      </c>
      <c r="B148" s="7" t="s">
        <v>368</v>
      </c>
      <c r="C148" s="170"/>
      <c r="D148" s="258"/>
      <c r="E148" s="106"/>
    </row>
    <row r="149" spans="1:5" s="55" customFormat="1" ht="12" customHeight="1" x14ac:dyDescent="0.2">
      <c r="A149" s="199" t="s">
        <v>206</v>
      </c>
      <c r="B149" s="7" t="s">
        <v>363</v>
      </c>
      <c r="C149" s="170"/>
      <c r="D149" s="258"/>
      <c r="E149" s="106"/>
    </row>
    <row r="150" spans="1:5" s="55" customFormat="1" ht="12" customHeight="1" x14ac:dyDescent="0.2">
      <c r="A150" s="199" t="s">
        <v>207</v>
      </c>
      <c r="B150" s="7" t="s">
        <v>405</v>
      </c>
      <c r="C150" s="170"/>
      <c r="D150" s="258"/>
      <c r="E150" s="106"/>
    </row>
    <row r="151" spans="1:5" ht="12.75" customHeight="1" thickBot="1" x14ac:dyDescent="0.25">
      <c r="A151" s="208" t="s">
        <v>367</v>
      </c>
      <c r="B151" s="5" t="s">
        <v>370</v>
      </c>
      <c r="C151" s="172"/>
      <c r="D151" s="259"/>
      <c r="E151" s="108"/>
    </row>
    <row r="152" spans="1:5" ht="12.75" customHeight="1" thickBot="1" x14ac:dyDescent="0.25">
      <c r="A152" s="238" t="s">
        <v>13</v>
      </c>
      <c r="B152" s="59" t="s">
        <v>371</v>
      </c>
      <c r="C152" s="249"/>
      <c r="D152" s="261"/>
      <c r="E152" s="243"/>
    </row>
    <row r="153" spans="1:5" ht="12.75" customHeight="1" thickBot="1" x14ac:dyDescent="0.25">
      <c r="A153" s="238" t="s">
        <v>14</v>
      </c>
      <c r="B153" s="59" t="s">
        <v>372</v>
      </c>
      <c r="C153" s="249"/>
      <c r="D153" s="261"/>
      <c r="E153" s="243"/>
    </row>
    <row r="154" spans="1:5" ht="12" customHeight="1" thickBot="1" x14ac:dyDescent="0.25">
      <c r="A154" s="25" t="s">
        <v>15</v>
      </c>
      <c r="B154" s="59" t="s">
        <v>374</v>
      </c>
      <c r="C154" s="251">
        <f>+C129+C133+C140+C146+C152+C153</f>
        <v>0</v>
      </c>
      <c r="D154" s="263">
        <f>+D129+D133+D140+D146+D152+D153</f>
        <v>0</v>
      </c>
      <c r="E154" s="245">
        <f>+E129+E133+E140+E146+E152+E153</f>
        <v>0</v>
      </c>
    </row>
    <row r="155" spans="1:5" ht="15.2" customHeight="1" thickBot="1" x14ac:dyDescent="0.25">
      <c r="A155" s="210" t="s">
        <v>16</v>
      </c>
      <c r="B155" s="156" t="s">
        <v>373</v>
      </c>
      <c r="C155" s="251">
        <f>+C128+C154</f>
        <v>0</v>
      </c>
      <c r="D155" s="263">
        <f>+D128+D154</f>
        <v>0</v>
      </c>
      <c r="E155" s="245">
        <f>+E128+E154</f>
        <v>0</v>
      </c>
    </row>
    <row r="156" spans="1:5" ht="13.5" thickBot="1" x14ac:dyDescent="0.25">
      <c r="A156" s="159"/>
      <c r="B156" s="160"/>
      <c r="C156" s="627">
        <f>C90-C155</f>
        <v>0</v>
      </c>
      <c r="D156" s="627">
        <f>D90-D155</f>
        <v>0</v>
      </c>
      <c r="E156" s="161"/>
    </row>
    <row r="157" spans="1:5" ht="15.2" customHeight="1" thickBot="1" x14ac:dyDescent="0.25">
      <c r="A157" s="305" t="s">
        <v>484</v>
      </c>
      <c r="B157" s="306"/>
      <c r="C157" s="295"/>
      <c r="D157" s="295"/>
      <c r="E157" s="294"/>
    </row>
    <row r="158" spans="1:5" ht="14.45" customHeight="1" thickBot="1" x14ac:dyDescent="0.25">
      <c r="A158" s="307" t="s">
        <v>485</v>
      </c>
      <c r="B158" s="308"/>
      <c r="C158" s="295"/>
      <c r="D158" s="295"/>
      <c r="E158" s="294"/>
    </row>
  </sheetData>
  <sheetProtection sheet="1"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2371-290E-4FCB-8CF2-17EA183B4F96}">
  <sheetPr>
    <tabColor theme="0" tint="-0.499984740745262"/>
  </sheetPr>
  <dimension ref="A1:K158"/>
  <sheetViews>
    <sheetView zoomScale="120" zoomScaleNormal="120" zoomScaleSheetLayoutView="100" workbookViewId="0">
      <selection activeCell="I27" sqref="I27"/>
    </sheetView>
  </sheetViews>
  <sheetFormatPr defaultRowHeight="12.75" x14ac:dyDescent="0.2"/>
  <cols>
    <col min="1" max="1" width="16.1640625" style="162" customWidth="1"/>
    <col min="2" max="2" width="62" style="163" customWidth="1"/>
    <col min="3" max="3" width="14.1640625" style="164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3">
      <c r="A1" s="327"/>
      <c r="B1" s="866" t="str">
        <f>CONCATENATE("6.1.3. melléklet ",Z_ALAPADATOK!A7," ",Z_ALAPADATOK!B7," ",Z_ALAPADATOK!C7," ",Z_ALAPADATOK!D7," ",Z_ALAPADATOK!E7," ",Z_ALAPADATOK!F7," ",Z_ALAPADATOK!G7," ",Z_ALAPADATOK!H7)</f>
        <v>6.1.3. melléklet a … / 2022. ( … ) önkormányzati rendelethez</v>
      </c>
      <c r="C1" s="867"/>
      <c r="D1" s="867"/>
      <c r="E1" s="867"/>
    </row>
    <row r="2" spans="1:5" s="51" customFormat="1" ht="21.2" customHeight="1" thickBot="1" x14ac:dyDescent="0.25">
      <c r="A2" s="336" t="s">
        <v>44</v>
      </c>
      <c r="B2" s="865" t="str">
        <f>CONCATENATE(Z_ALAPADATOK!A3)</f>
        <v>Sajószöged Községi Önkormányzat</v>
      </c>
      <c r="C2" s="865"/>
      <c r="D2" s="865"/>
      <c r="E2" s="337" t="s">
        <v>38</v>
      </c>
    </row>
    <row r="3" spans="1:5" s="51" customFormat="1" ht="24.75" thickBot="1" x14ac:dyDescent="0.25">
      <c r="A3" s="336" t="s">
        <v>134</v>
      </c>
      <c r="B3" s="865" t="s">
        <v>415</v>
      </c>
      <c r="C3" s="865"/>
      <c r="D3" s="865"/>
      <c r="E3" s="338" t="s">
        <v>42</v>
      </c>
    </row>
    <row r="4" spans="1:5" s="52" customFormat="1" ht="15.95" customHeight="1" thickBot="1" x14ac:dyDescent="0.3">
      <c r="A4" s="330"/>
      <c r="B4" s="330"/>
      <c r="C4" s="331"/>
      <c r="D4" s="332"/>
      <c r="E4" s="331" t="str">
        <f>'Z_6.1.2.sz.mell'!E4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CONCATENATE('Z_6.1.2.sz.mell'!E5)</f>
        <v>Teljesítés
2021. XII. 31.</v>
      </c>
    </row>
    <row r="6" spans="1:5" s="47" customFormat="1" ht="12.95" customHeight="1" thickBot="1" x14ac:dyDescent="0.25">
      <c r="A6" s="77" t="s">
        <v>385</v>
      </c>
      <c r="B6" s="78" t="s">
        <v>386</v>
      </c>
      <c r="C6" s="78" t="s">
        <v>387</v>
      </c>
      <c r="D6" s="289" t="s">
        <v>389</v>
      </c>
      <c r="E6" s="79" t="s">
        <v>388</v>
      </c>
    </row>
    <row r="7" spans="1:5" s="47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47" customFormat="1" ht="12" customHeight="1" thickBot="1" x14ac:dyDescent="0.25">
      <c r="A8" s="25" t="s">
        <v>6</v>
      </c>
      <c r="B8" s="19" t="s">
        <v>161</v>
      </c>
      <c r="C8" s="169">
        <f>+C9+C10+C11+C12+C13+C14</f>
        <v>0</v>
      </c>
      <c r="D8" s="256">
        <f>+D9+D10+D11+D12+D13+D14</f>
        <v>0</v>
      </c>
      <c r="E8" s="105">
        <f>+E9+E10+E11+E12+E13+E14</f>
        <v>0</v>
      </c>
    </row>
    <row r="9" spans="1:5" s="53" customFormat="1" ht="12" customHeight="1" x14ac:dyDescent="0.2">
      <c r="A9" s="199" t="s">
        <v>63</v>
      </c>
      <c r="B9" s="182" t="s">
        <v>162</v>
      </c>
      <c r="C9" s="171"/>
      <c r="D9" s="257"/>
      <c r="E9" s="107"/>
    </row>
    <row r="10" spans="1:5" s="54" customFormat="1" ht="12" customHeight="1" x14ac:dyDescent="0.2">
      <c r="A10" s="200" t="s">
        <v>64</v>
      </c>
      <c r="B10" s="183" t="s">
        <v>163</v>
      </c>
      <c r="C10" s="170"/>
      <c r="D10" s="258"/>
      <c r="E10" s="106"/>
    </row>
    <row r="11" spans="1:5" s="54" customFormat="1" ht="12" customHeight="1" x14ac:dyDescent="0.2">
      <c r="A11" s="200" t="s">
        <v>65</v>
      </c>
      <c r="B11" s="183" t="s">
        <v>164</v>
      </c>
      <c r="C11" s="170"/>
      <c r="D11" s="258"/>
      <c r="E11" s="106"/>
    </row>
    <row r="12" spans="1:5" s="54" customFormat="1" ht="12" customHeight="1" x14ac:dyDescent="0.2">
      <c r="A12" s="200" t="s">
        <v>66</v>
      </c>
      <c r="B12" s="183" t="s">
        <v>165</v>
      </c>
      <c r="C12" s="170"/>
      <c r="D12" s="258"/>
      <c r="E12" s="106"/>
    </row>
    <row r="13" spans="1:5" s="54" customFormat="1" ht="12" customHeight="1" x14ac:dyDescent="0.2">
      <c r="A13" s="200" t="s">
        <v>96</v>
      </c>
      <c r="B13" s="183" t="s">
        <v>393</v>
      </c>
      <c r="C13" s="170"/>
      <c r="D13" s="258"/>
      <c r="E13" s="106"/>
    </row>
    <row r="14" spans="1:5" s="53" customFormat="1" ht="12" customHeight="1" thickBot="1" x14ac:dyDescent="0.25">
      <c r="A14" s="201" t="s">
        <v>67</v>
      </c>
      <c r="B14" s="184" t="s">
        <v>334</v>
      </c>
      <c r="C14" s="170"/>
      <c r="D14" s="258"/>
      <c r="E14" s="106"/>
    </row>
    <row r="15" spans="1:5" s="53" customFormat="1" ht="12" customHeight="1" thickBot="1" x14ac:dyDescent="0.25">
      <c r="A15" s="25" t="s">
        <v>7</v>
      </c>
      <c r="B15" s="112" t="s">
        <v>166</v>
      </c>
      <c r="C15" s="169">
        <f>+C16+C17+C18+C19+C20</f>
        <v>0</v>
      </c>
      <c r="D15" s="256">
        <f>+D16+D17+D18+D19+D20</f>
        <v>0</v>
      </c>
      <c r="E15" s="105">
        <f>+E16+E17+E18+E19+E20</f>
        <v>0</v>
      </c>
    </row>
    <row r="16" spans="1:5" s="53" customFormat="1" ht="12" customHeight="1" x14ac:dyDescent="0.2">
      <c r="A16" s="199" t="s">
        <v>69</v>
      </c>
      <c r="B16" s="182" t="s">
        <v>167</v>
      </c>
      <c r="C16" s="171"/>
      <c r="D16" s="257"/>
      <c r="E16" s="107"/>
    </row>
    <row r="17" spans="1:5" s="53" customFormat="1" ht="12" customHeight="1" x14ac:dyDescent="0.2">
      <c r="A17" s="200" t="s">
        <v>70</v>
      </c>
      <c r="B17" s="183" t="s">
        <v>168</v>
      </c>
      <c r="C17" s="170"/>
      <c r="D17" s="258"/>
      <c r="E17" s="106"/>
    </row>
    <row r="18" spans="1:5" s="53" customFormat="1" ht="12" customHeight="1" x14ac:dyDescent="0.2">
      <c r="A18" s="200" t="s">
        <v>71</v>
      </c>
      <c r="B18" s="183" t="s">
        <v>325</v>
      </c>
      <c r="C18" s="170"/>
      <c r="D18" s="258"/>
      <c r="E18" s="106"/>
    </row>
    <row r="19" spans="1:5" s="53" customFormat="1" ht="12" customHeight="1" x14ac:dyDescent="0.2">
      <c r="A19" s="200" t="s">
        <v>72</v>
      </c>
      <c r="B19" s="183" t="s">
        <v>326</v>
      </c>
      <c r="C19" s="170"/>
      <c r="D19" s="258"/>
      <c r="E19" s="106"/>
    </row>
    <row r="20" spans="1:5" s="53" customFormat="1" ht="12" customHeight="1" x14ac:dyDescent="0.2">
      <c r="A20" s="200" t="s">
        <v>73</v>
      </c>
      <c r="B20" s="183" t="s">
        <v>169</v>
      </c>
      <c r="C20" s="170"/>
      <c r="D20" s="258"/>
      <c r="E20" s="106"/>
    </row>
    <row r="21" spans="1:5" s="54" customFormat="1" ht="12" customHeight="1" thickBot="1" x14ac:dyDescent="0.25">
      <c r="A21" s="201" t="s">
        <v>80</v>
      </c>
      <c r="B21" s="184" t="s">
        <v>170</v>
      </c>
      <c r="C21" s="172"/>
      <c r="D21" s="259"/>
      <c r="E21" s="108"/>
    </row>
    <row r="22" spans="1:5" s="54" customFormat="1" ht="12" customHeight="1" thickBot="1" x14ac:dyDescent="0.25">
      <c r="A22" s="25" t="s">
        <v>8</v>
      </c>
      <c r="B22" s="19" t="s">
        <v>171</v>
      </c>
      <c r="C22" s="169">
        <f>+C23+C24+C25+C26+C27</f>
        <v>0</v>
      </c>
      <c r="D22" s="256">
        <f>+D23+D24+D25+D26+D27</f>
        <v>0</v>
      </c>
      <c r="E22" s="105">
        <f>+E23+E24+E25+E26+E27</f>
        <v>0</v>
      </c>
    </row>
    <row r="23" spans="1:5" s="54" customFormat="1" ht="12" customHeight="1" x14ac:dyDescent="0.2">
      <c r="A23" s="199" t="s">
        <v>52</v>
      </c>
      <c r="B23" s="182" t="s">
        <v>172</v>
      </c>
      <c r="C23" s="171"/>
      <c r="D23" s="257"/>
      <c r="E23" s="107"/>
    </row>
    <row r="24" spans="1:5" s="53" customFormat="1" ht="12" customHeight="1" x14ac:dyDescent="0.2">
      <c r="A24" s="200" t="s">
        <v>53</v>
      </c>
      <c r="B24" s="183" t="s">
        <v>173</v>
      </c>
      <c r="C24" s="170"/>
      <c r="D24" s="258"/>
      <c r="E24" s="106"/>
    </row>
    <row r="25" spans="1:5" s="54" customFormat="1" ht="12" customHeight="1" x14ac:dyDescent="0.2">
      <c r="A25" s="200" t="s">
        <v>54</v>
      </c>
      <c r="B25" s="183" t="s">
        <v>327</v>
      </c>
      <c r="C25" s="170"/>
      <c r="D25" s="258"/>
      <c r="E25" s="106"/>
    </row>
    <row r="26" spans="1:5" s="54" customFormat="1" ht="12" customHeight="1" x14ac:dyDescent="0.2">
      <c r="A26" s="200" t="s">
        <v>55</v>
      </c>
      <c r="B26" s="183" t="s">
        <v>328</v>
      </c>
      <c r="C26" s="170"/>
      <c r="D26" s="258"/>
      <c r="E26" s="106"/>
    </row>
    <row r="27" spans="1:5" s="54" customFormat="1" ht="12" customHeight="1" x14ac:dyDescent="0.2">
      <c r="A27" s="200" t="s">
        <v>109</v>
      </c>
      <c r="B27" s="183" t="s">
        <v>174</v>
      </c>
      <c r="C27" s="170"/>
      <c r="D27" s="258"/>
      <c r="E27" s="106"/>
    </row>
    <row r="28" spans="1:5" s="54" customFormat="1" ht="12" customHeight="1" thickBot="1" x14ac:dyDescent="0.25">
      <c r="A28" s="201" t="s">
        <v>110</v>
      </c>
      <c r="B28" s="184" t="s">
        <v>175</v>
      </c>
      <c r="C28" s="172"/>
      <c r="D28" s="259"/>
      <c r="E28" s="108"/>
    </row>
    <row r="29" spans="1:5" s="54" customFormat="1" ht="12" customHeight="1" thickBot="1" x14ac:dyDescent="0.25">
      <c r="A29" s="25" t="s">
        <v>111</v>
      </c>
      <c r="B29" s="19" t="s">
        <v>475</v>
      </c>
      <c r="C29" s="175">
        <f>SUM(C30:C36)</f>
        <v>0</v>
      </c>
      <c r="D29" s="175">
        <f>SUM(D30:D36)</f>
        <v>0</v>
      </c>
      <c r="E29" s="211">
        <f>SUM(E30:E36)</f>
        <v>0</v>
      </c>
    </row>
    <row r="30" spans="1:5" s="54" customFormat="1" ht="12" customHeight="1" x14ac:dyDescent="0.2">
      <c r="A30" s="199" t="s">
        <v>176</v>
      </c>
      <c r="B30" s="182" t="str">
        <f>'Z_1.1.sz.mell.'!B33</f>
        <v>Építményadó</v>
      </c>
      <c r="C30" s="171"/>
      <c r="D30" s="171"/>
      <c r="E30" s="107"/>
    </row>
    <row r="31" spans="1:5" s="54" customFormat="1" ht="12" customHeight="1" x14ac:dyDescent="0.2">
      <c r="A31" s="200" t="s">
        <v>177</v>
      </c>
      <c r="B31" s="182" t="str">
        <f>'Z_1.1.sz.mell.'!B34</f>
        <v xml:space="preserve">Idegenforgalmi adó </v>
      </c>
      <c r="C31" s="170"/>
      <c r="D31" s="170"/>
      <c r="E31" s="106"/>
    </row>
    <row r="32" spans="1:5" s="54" customFormat="1" ht="12" customHeight="1" x14ac:dyDescent="0.2">
      <c r="A32" s="200" t="s">
        <v>178</v>
      </c>
      <c r="B32" s="182" t="str">
        <f>'Z_1.1.sz.mell.'!B35</f>
        <v>Iparűzési adó</v>
      </c>
      <c r="C32" s="170"/>
      <c r="D32" s="170"/>
      <c r="E32" s="106"/>
    </row>
    <row r="33" spans="1:5" s="54" customFormat="1" ht="12" customHeight="1" x14ac:dyDescent="0.2">
      <c r="A33" s="200" t="s">
        <v>179</v>
      </c>
      <c r="B33" s="182" t="str">
        <f>'Z_1.1.sz.mell.'!B36</f>
        <v>Talajterhelési díj</v>
      </c>
      <c r="C33" s="170"/>
      <c r="D33" s="170"/>
      <c r="E33" s="106"/>
    </row>
    <row r="34" spans="1:5" s="54" customFormat="1" ht="12" customHeight="1" x14ac:dyDescent="0.2">
      <c r="A34" s="200" t="s">
        <v>479</v>
      </c>
      <c r="B34" s="182" t="str">
        <f>'Z_1.1.sz.mell.'!B37</f>
        <v>Gépjárműadó</v>
      </c>
      <c r="C34" s="170"/>
      <c r="D34" s="170"/>
      <c r="E34" s="106"/>
    </row>
    <row r="35" spans="1:5" s="54" customFormat="1" ht="12" customHeight="1" x14ac:dyDescent="0.2">
      <c r="A35" s="200" t="s">
        <v>480</v>
      </c>
      <c r="B35" s="182" t="str">
        <f>'Z_1.1.sz.mell.'!B38</f>
        <v>Telekadó</v>
      </c>
      <c r="C35" s="170"/>
      <c r="D35" s="170"/>
      <c r="E35" s="106"/>
    </row>
    <row r="36" spans="1:5" s="54" customFormat="1" ht="12" customHeight="1" thickBot="1" x14ac:dyDescent="0.25">
      <c r="A36" s="201" t="s">
        <v>481</v>
      </c>
      <c r="B36" s="182" t="str">
        <f>'Z_1.1.sz.mell.'!B39</f>
        <v>Egyéb közhatalmi bevételek</v>
      </c>
      <c r="C36" s="172"/>
      <c r="D36" s="172"/>
      <c r="E36" s="108"/>
    </row>
    <row r="37" spans="1:5" s="54" customFormat="1" ht="12" customHeight="1" thickBot="1" x14ac:dyDescent="0.25">
      <c r="A37" s="25" t="s">
        <v>10</v>
      </c>
      <c r="B37" s="19" t="s">
        <v>335</v>
      </c>
      <c r="C37" s="169">
        <f>SUM(C38:C48)</f>
        <v>0</v>
      </c>
      <c r="D37" s="256">
        <f>SUM(D38:D48)</f>
        <v>0</v>
      </c>
      <c r="E37" s="105">
        <f>SUM(E38:E48)</f>
        <v>0</v>
      </c>
    </row>
    <row r="38" spans="1:5" s="54" customFormat="1" ht="12" customHeight="1" x14ac:dyDescent="0.2">
      <c r="A38" s="199" t="s">
        <v>56</v>
      </c>
      <c r="B38" s="182" t="s">
        <v>183</v>
      </c>
      <c r="C38" s="171"/>
      <c r="D38" s="257"/>
      <c r="E38" s="107"/>
    </row>
    <row r="39" spans="1:5" s="54" customFormat="1" ht="12" customHeight="1" x14ac:dyDescent="0.2">
      <c r="A39" s="200" t="s">
        <v>57</v>
      </c>
      <c r="B39" s="183" t="s">
        <v>184</v>
      </c>
      <c r="C39" s="170"/>
      <c r="D39" s="258"/>
      <c r="E39" s="106"/>
    </row>
    <row r="40" spans="1:5" s="54" customFormat="1" ht="12" customHeight="1" x14ac:dyDescent="0.2">
      <c r="A40" s="200" t="s">
        <v>58</v>
      </c>
      <c r="B40" s="183" t="s">
        <v>185</v>
      </c>
      <c r="C40" s="170"/>
      <c r="D40" s="258"/>
      <c r="E40" s="106"/>
    </row>
    <row r="41" spans="1:5" s="54" customFormat="1" ht="12" customHeight="1" x14ac:dyDescent="0.2">
      <c r="A41" s="200" t="s">
        <v>113</v>
      </c>
      <c r="B41" s="183" t="s">
        <v>186</v>
      </c>
      <c r="C41" s="170"/>
      <c r="D41" s="258"/>
      <c r="E41" s="106"/>
    </row>
    <row r="42" spans="1:5" s="54" customFormat="1" ht="12" customHeight="1" x14ac:dyDescent="0.2">
      <c r="A42" s="200" t="s">
        <v>114</v>
      </c>
      <c r="B42" s="183" t="s">
        <v>187</v>
      </c>
      <c r="C42" s="170"/>
      <c r="D42" s="258"/>
      <c r="E42" s="106"/>
    </row>
    <row r="43" spans="1:5" s="54" customFormat="1" ht="12" customHeight="1" x14ac:dyDescent="0.2">
      <c r="A43" s="200" t="s">
        <v>115</v>
      </c>
      <c r="B43" s="183" t="s">
        <v>188</v>
      </c>
      <c r="C43" s="170"/>
      <c r="D43" s="258"/>
      <c r="E43" s="106"/>
    </row>
    <row r="44" spans="1:5" s="54" customFormat="1" ht="12" customHeight="1" x14ac:dyDescent="0.2">
      <c r="A44" s="200" t="s">
        <v>116</v>
      </c>
      <c r="B44" s="183" t="s">
        <v>189</v>
      </c>
      <c r="C44" s="170"/>
      <c r="D44" s="258"/>
      <c r="E44" s="106"/>
    </row>
    <row r="45" spans="1:5" s="54" customFormat="1" ht="12" customHeight="1" x14ac:dyDescent="0.2">
      <c r="A45" s="200" t="s">
        <v>117</v>
      </c>
      <c r="B45" s="183" t="s">
        <v>482</v>
      </c>
      <c r="C45" s="170"/>
      <c r="D45" s="258"/>
      <c r="E45" s="106"/>
    </row>
    <row r="46" spans="1:5" s="54" customFormat="1" ht="12" customHeight="1" x14ac:dyDescent="0.2">
      <c r="A46" s="200" t="s">
        <v>181</v>
      </c>
      <c r="B46" s="183" t="s">
        <v>191</v>
      </c>
      <c r="C46" s="173"/>
      <c r="D46" s="290"/>
      <c r="E46" s="109"/>
    </row>
    <row r="47" spans="1:5" s="54" customFormat="1" ht="12" customHeight="1" x14ac:dyDescent="0.2">
      <c r="A47" s="201" t="s">
        <v>182</v>
      </c>
      <c r="B47" s="184" t="s">
        <v>337</v>
      </c>
      <c r="C47" s="174"/>
      <c r="D47" s="291"/>
      <c r="E47" s="110"/>
    </row>
    <row r="48" spans="1:5" s="54" customFormat="1" ht="12" customHeight="1" thickBot="1" x14ac:dyDescent="0.25">
      <c r="A48" s="201" t="s">
        <v>336</v>
      </c>
      <c r="B48" s="184" t="s">
        <v>192</v>
      </c>
      <c r="C48" s="174"/>
      <c r="D48" s="291"/>
      <c r="E48" s="110"/>
    </row>
    <row r="49" spans="1:5" s="54" customFormat="1" ht="12" customHeight="1" thickBot="1" x14ac:dyDescent="0.25">
      <c r="A49" s="25" t="s">
        <v>11</v>
      </c>
      <c r="B49" s="19" t="s">
        <v>193</v>
      </c>
      <c r="C49" s="169">
        <f>SUM(C50:C54)</f>
        <v>0</v>
      </c>
      <c r="D49" s="256">
        <f>SUM(D50:D54)</f>
        <v>0</v>
      </c>
      <c r="E49" s="105">
        <f>SUM(E50:E54)</f>
        <v>0</v>
      </c>
    </row>
    <row r="50" spans="1:5" s="54" customFormat="1" ht="12" customHeight="1" x14ac:dyDescent="0.2">
      <c r="A50" s="199" t="s">
        <v>59</v>
      </c>
      <c r="B50" s="182" t="s">
        <v>197</v>
      </c>
      <c r="C50" s="222"/>
      <c r="D50" s="292"/>
      <c r="E50" s="111"/>
    </row>
    <row r="51" spans="1:5" s="54" customFormat="1" ht="12" customHeight="1" x14ac:dyDescent="0.2">
      <c r="A51" s="200" t="s">
        <v>60</v>
      </c>
      <c r="B51" s="183" t="s">
        <v>198</v>
      </c>
      <c r="C51" s="173"/>
      <c r="D51" s="290"/>
      <c r="E51" s="109"/>
    </row>
    <row r="52" spans="1:5" s="54" customFormat="1" ht="12" customHeight="1" x14ac:dyDescent="0.2">
      <c r="A52" s="200" t="s">
        <v>194</v>
      </c>
      <c r="B52" s="183" t="s">
        <v>199</v>
      </c>
      <c r="C52" s="173"/>
      <c r="D52" s="290"/>
      <c r="E52" s="109"/>
    </row>
    <row r="53" spans="1:5" s="54" customFormat="1" ht="12" customHeight="1" x14ac:dyDescent="0.2">
      <c r="A53" s="200" t="s">
        <v>195</v>
      </c>
      <c r="B53" s="183" t="s">
        <v>200</v>
      </c>
      <c r="C53" s="173"/>
      <c r="D53" s="290"/>
      <c r="E53" s="109"/>
    </row>
    <row r="54" spans="1:5" s="54" customFormat="1" ht="12" customHeight="1" thickBot="1" x14ac:dyDescent="0.25">
      <c r="A54" s="201" t="s">
        <v>196</v>
      </c>
      <c r="B54" s="184" t="s">
        <v>201</v>
      </c>
      <c r="C54" s="174"/>
      <c r="D54" s="291"/>
      <c r="E54" s="110"/>
    </row>
    <row r="55" spans="1:5" s="54" customFormat="1" ht="12" customHeight="1" thickBot="1" x14ac:dyDescent="0.25">
      <c r="A55" s="25" t="s">
        <v>118</v>
      </c>
      <c r="B55" s="19" t="s">
        <v>202</v>
      </c>
      <c r="C55" s="169">
        <f>SUM(C56:C58)</f>
        <v>0</v>
      </c>
      <c r="D55" s="256">
        <f>SUM(D56:D58)</f>
        <v>0</v>
      </c>
      <c r="E55" s="105">
        <f>SUM(E56:E58)</f>
        <v>0</v>
      </c>
    </row>
    <row r="56" spans="1:5" s="54" customFormat="1" ht="12" customHeight="1" x14ac:dyDescent="0.2">
      <c r="A56" s="199" t="s">
        <v>61</v>
      </c>
      <c r="B56" s="182" t="s">
        <v>203</v>
      </c>
      <c r="C56" s="171"/>
      <c r="D56" s="257"/>
      <c r="E56" s="107"/>
    </row>
    <row r="57" spans="1:5" s="54" customFormat="1" ht="12" customHeight="1" x14ac:dyDescent="0.2">
      <c r="A57" s="200" t="s">
        <v>62</v>
      </c>
      <c r="B57" s="183" t="s">
        <v>329</v>
      </c>
      <c r="C57" s="170"/>
      <c r="D57" s="258"/>
      <c r="E57" s="106"/>
    </row>
    <row r="58" spans="1:5" s="54" customFormat="1" ht="12" customHeight="1" x14ac:dyDescent="0.2">
      <c r="A58" s="200" t="s">
        <v>206</v>
      </c>
      <c r="B58" s="183" t="s">
        <v>204</v>
      </c>
      <c r="C58" s="170"/>
      <c r="D58" s="258"/>
      <c r="E58" s="106"/>
    </row>
    <row r="59" spans="1:5" s="54" customFormat="1" ht="12" customHeight="1" thickBot="1" x14ac:dyDescent="0.25">
      <c r="A59" s="201" t="s">
        <v>207</v>
      </c>
      <c r="B59" s="184" t="s">
        <v>205</v>
      </c>
      <c r="C59" s="172"/>
      <c r="D59" s="259"/>
      <c r="E59" s="108"/>
    </row>
    <row r="60" spans="1:5" s="54" customFormat="1" ht="12" customHeight="1" thickBot="1" x14ac:dyDescent="0.25">
      <c r="A60" s="25" t="s">
        <v>13</v>
      </c>
      <c r="B60" s="112" t="s">
        <v>208</v>
      </c>
      <c r="C60" s="169">
        <f>SUM(C61:C63)</f>
        <v>0</v>
      </c>
      <c r="D60" s="256">
        <f>SUM(D61:D63)</f>
        <v>0</v>
      </c>
      <c r="E60" s="105">
        <f>SUM(E61:E63)</f>
        <v>0</v>
      </c>
    </row>
    <row r="61" spans="1:5" s="54" customFormat="1" ht="12" customHeight="1" x14ac:dyDescent="0.2">
      <c r="A61" s="199" t="s">
        <v>119</v>
      </c>
      <c r="B61" s="182" t="s">
        <v>210</v>
      </c>
      <c r="C61" s="173"/>
      <c r="D61" s="290"/>
      <c r="E61" s="109"/>
    </row>
    <row r="62" spans="1:5" s="54" customFormat="1" ht="12" customHeight="1" x14ac:dyDescent="0.2">
      <c r="A62" s="200" t="s">
        <v>120</v>
      </c>
      <c r="B62" s="183" t="s">
        <v>330</v>
      </c>
      <c r="C62" s="173"/>
      <c r="D62" s="290"/>
      <c r="E62" s="109"/>
    </row>
    <row r="63" spans="1:5" s="54" customFormat="1" ht="12" customHeight="1" x14ac:dyDescent="0.2">
      <c r="A63" s="200" t="s">
        <v>143</v>
      </c>
      <c r="B63" s="183" t="s">
        <v>211</v>
      </c>
      <c r="C63" s="173"/>
      <c r="D63" s="290"/>
      <c r="E63" s="109"/>
    </row>
    <row r="64" spans="1:5" s="54" customFormat="1" ht="12" customHeight="1" thickBot="1" x14ac:dyDescent="0.25">
      <c r="A64" s="201" t="s">
        <v>209</v>
      </c>
      <c r="B64" s="184" t="s">
        <v>212</v>
      </c>
      <c r="C64" s="173"/>
      <c r="D64" s="290"/>
      <c r="E64" s="109"/>
    </row>
    <row r="65" spans="1:5" s="54" customFormat="1" ht="12" customHeight="1" thickBot="1" x14ac:dyDescent="0.25">
      <c r="A65" s="25" t="s">
        <v>14</v>
      </c>
      <c r="B65" s="19" t="s">
        <v>213</v>
      </c>
      <c r="C65" s="175">
        <f>+C8+C15+C22+C29+C37+C49+C55+C60</f>
        <v>0</v>
      </c>
      <c r="D65" s="260">
        <f>+D8+D15+D22+D29+D37+D49+D55+D60</f>
        <v>0</v>
      </c>
      <c r="E65" s="211">
        <f>+E8+E15+E22+E29+E37+E49+E55+E60</f>
        <v>0</v>
      </c>
    </row>
    <row r="66" spans="1:5" s="54" customFormat="1" ht="12" customHeight="1" thickBot="1" x14ac:dyDescent="0.2">
      <c r="A66" s="202" t="s">
        <v>298</v>
      </c>
      <c r="B66" s="112" t="s">
        <v>215</v>
      </c>
      <c r="C66" s="169">
        <f>SUM(C67:C69)</f>
        <v>0</v>
      </c>
      <c r="D66" s="256">
        <f>SUM(D67:D69)</f>
        <v>0</v>
      </c>
      <c r="E66" s="105">
        <f>SUM(E67:E69)</f>
        <v>0</v>
      </c>
    </row>
    <row r="67" spans="1:5" s="54" customFormat="1" ht="12" customHeight="1" x14ac:dyDescent="0.2">
      <c r="A67" s="199" t="s">
        <v>243</v>
      </c>
      <c r="B67" s="182" t="s">
        <v>216</v>
      </c>
      <c r="C67" s="173"/>
      <c r="D67" s="290"/>
      <c r="E67" s="109"/>
    </row>
    <row r="68" spans="1:5" s="54" customFormat="1" ht="12" customHeight="1" x14ac:dyDescent="0.2">
      <c r="A68" s="200" t="s">
        <v>252</v>
      </c>
      <c r="B68" s="183" t="s">
        <v>217</v>
      </c>
      <c r="C68" s="173"/>
      <c r="D68" s="290"/>
      <c r="E68" s="109"/>
    </row>
    <row r="69" spans="1:5" s="54" customFormat="1" ht="12" customHeight="1" thickBot="1" x14ac:dyDescent="0.25">
      <c r="A69" s="201" t="s">
        <v>253</v>
      </c>
      <c r="B69" s="185" t="s">
        <v>218</v>
      </c>
      <c r="C69" s="173"/>
      <c r="D69" s="293"/>
      <c r="E69" s="109"/>
    </row>
    <row r="70" spans="1:5" s="54" customFormat="1" ht="12" customHeight="1" thickBot="1" x14ac:dyDescent="0.2">
      <c r="A70" s="202" t="s">
        <v>219</v>
      </c>
      <c r="B70" s="112" t="s">
        <v>220</v>
      </c>
      <c r="C70" s="169">
        <f>SUM(C71:C74)</f>
        <v>0</v>
      </c>
      <c r="D70" s="169">
        <f>SUM(D71:D74)</f>
        <v>0</v>
      </c>
      <c r="E70" s="105">
        <f>SUM(E71:E74)</f>
        <v>0</v>
      </c>
    </row>
    <row r="71" spans="1:5" s="54" customFormat="1" ht="12" customHeight="1" x14ac:dyDescent="0.2">
      <c r="A71" s="199" t="s">
        <v>97</v>
      </c>
      <c r="B71" s="311" t="s">
        <v>221</v>
      </c>
      <c r="C71" s="173"/>
      <c r="D71" s="173"/>
      <c r="E71" s="109"/>
    </row>
    <row r="72" spans="1:5" s="54" customFormat="1" ht="12" customHeight="1" x14ac:dyDescent="0.2">
      <c r="A72" s="200" t="s">
        <v>98</v>
      </c>
      <c r="B72" s="311" t="s">
        <v>489</v>
      </c>
      <c r="C72" s="173"/>
      <c r="D72" s="173"/>
      <c r="E72" s="109"/>
    </row>
    <row r="73" spans="1:5" s="54" customFormat="1" ht="12" customHeight="1" x14ac:dyDescent="0.2">
      <c r="A73" s="200" t="s">
        <v>244</v>
      </c>
      <c r="B73" s="311" t="s">
        <v>222</v>
      </c>
      <c r="C73" s="173"/>
      <c r="D73" s="173"/>
      <c r="E73" s="109"/>
    </row>
    <row r="74" spans="1:5" s="54" customFormat="1" ht="12" customHeight="1" thickBot="1" x14ac:dyDescent="0.25">
      <c r="A74" s="201" t="s">
        <v>245</v>
      </c>
      <c r="B74" s="312" t="s">
        <v>490</v>
      </c>
      <c r="C74" s="173"/>
      <c r="D74" s="173"/>
      <c r="E74" s="109"/>
    </row>
    <row r="75" spans="1:5" s="54" customFormat="1" ht="12" customHeight="1" thickBot="1" x14ac:dyDescent="0.2">
      <c r="A75" s="202" t="s">
        <v>223</v>
      </c>
      <c r="B75" s="112" t="s">
        <v>224</v>
      </c>
      <c r="C75" s="169">
        <f>SUM(C76:C77)</f>
        <v>0</v>
      </c>
      <c r="D75" s="169">
        <f>SUM(D76:D77)</f>
        <v>0</v>
      </c>
      <c r="E75" s="105">
        <f>SUM(E76:E77)</f>
        <v>0</v>
      </c>
    </row>
    <row r="76" spans="1:5" s="54" customFormat="1" ht="12" customHeight="1" x14ac:dyDescent="0.2">
      <c r="A76" s="199" t="s">
        <v>246</v>
      </c>
      <c r="B76" s="182" t="s">
        <v>225</v>
      </c>
      <c r="C76" s="173"/>
      <c r="D76" s="173"/>
      <c r="E76" s="109"/>
    </row>
    <row r="77" spans="1:5" s="54" customFormat="1" ht="12" customHeight="1" thickBot="1" x14ac:dyDescent="0.25">
      <c r="A77" s="201" t="s">
        <v>247</v>
      </c>
      <c r="B77" s="184" t="s">
        <v>226</v>
      </c>
      <c r="C77" s="173"/>
      <c r="D77" s="173"/>
      <c r="E77" s="109"/>
    </row>
    <row r="78" spans="1:5" s="53" customFormat="1" ht="12" customHeight="1" thickBot="1" x14ac:dyDescent="0.2">
      <c r="A78" s="202" t="s">
        <v>227</v>
      </c>
      <c r="B78" s="112" t="s">
        <v>228</v>
      </c>
      <c r="C78" s="169">
        <f>SUM(C79:C81)</f>
        <v>0</v>
      </c>
      <c r="D78" s="169">
        <f>SUM(D79:D81)</f>
        <v>0</v>
      </c>
      <c r="E78" s="105">
        <f>SUM(E79:E81)</f>
        <v>0</v>
      </c>
    </row>
    <row r="79" spans="1:5" s="54" customFormat="1" ht="12" customHeight="1" x14ac:dyDescent="0.2">
      <c r="A79" s="199" t="s">
        <v>248</v>
      </c>
      <c r="B79" s="182" t="s">
        <v>229</v>
      </c>
      <c r="C79" s="173"/>
      <c r="D79" s="173"/>
      <c r="E79" s="109"/>
    </row>
    <row r="80" spans="1:5" s="54" customFormat="1" ht="12" customHeight="1" x14ac:dyDescent="0.2">
      <c r="A80" s="200" t="s">
        <v>249</v>
      </c>
      <c r="B80" s="183" t="s">
        <v>230</v>
      </c>
      <c r="C80" s="173"/>
      <c r="D80" s="173"/>
      <c r="E80" s="109"/>
    </row>
    <row r="81" spans="1:5" s="54" customFormat="1" ht="12" customHeight="1" thickBot="1" x14ac:dyDescent="0.25">
      <c r="A81" s="201" t="s">
        <v>250</v>
      </c>
      <c r="B81" s="184" t="s">
        <v>491</v>
      </c>
      <c r="C81" s="173"/>
      <c r="D81" s="173"/>
      <c r="E81" s="109"/>
    </row>
    <row r="82" spans="1:5" s="54" customFormat="1" ht="12" customHeight="1" thickBot="1" x14ac:dyDescent="0.2">
      <c r="A82" s="202" t="s">
        <v>231</v>
      </c>
      <c r="B82" s="112" t="s">
        <v>251</v>
      </c>
      <c r="C82" s="169">
        <f>SUM(C83:C86)</f>
        <v>0</v>
      </c>
      <c r="D82" s="169">
        <f>SUM(D83:D86)</f>
        <v>0</v>
      </c>
      <c r="E82" s="105">
        <f>SUM(E83:E86)</f>
        <v>0</v>
      </c>
    </row>
    <row r="83" spans="1:5" s="54" customFormat="1" ht="12" customHeight="1" x14ac:dyDescent="0.2">
      <c r="A83" s="203" t="s">
        <v>232</v>
      </c>
      <c r="B83" s="182" t="s">
        <v>233</v>
      </c>
      <c r="C83" s="173"/>
      <c r="D83" s="173"/>
      <c r="E83" s="109"/>
    </row>
    <row r="84" spans="1:5" s="54" customFormat="1" ht="12" customHeight="1" x14ac:dyDescent="0.2">
      <c r="A84" s="204" t="s">
        <v>234</v>
      </c>
      <c r="B84" s="183" t="s">
        <v>235</v>
      </c>
      <c r="C84" s="173"/>
      <c r="D84" s="173"/>
      <c r="E84" s="109"/>
    </row>
    <row r="85" spans="1:5" s="54" customFormat="1" ht="12" customHeight="1" x14ac:dyDescent="0.2">
      <c r="A85" s="204" t="s">
        <v>236</v>
      </c>
      <c r="B85" s="183" t="s">
        <v>237</v>
      </c>
      <c r="C85" s="173"/>
      <c r="D85" s="173"/>
      <c r="E85" s="109"/>
    </row>
    <row r="86" spans="1:5" s="53" customFormat="1" ht="12" customHeight="1" thickBot="1" x14ac:dyDescent="0.25">
      <c r="A86" s="205" t="s">
        <v>238</v>
      </c>
      <c r="B86" s="184" t="s">
        <v>239</v>
      </c>
      <c r="C86" s="173"/>
      <c r="D86" s="173"/>
      <c r="E86" s="109"/>
    </row>
    <row r="87" spans="1:5" s="53" customFormat="1" ht="12" customHeight="1" thickBot="1" x14ac:dyDescent="0.2">
      <c r="A87" s="202" t="s">
        <v>240</v>
      </c>
      <c r="B87" s="112" t="s">
        <v>376</v>
      </c>
      <c r="C87" s="225"/>
      <c r="D87" s="225"/>
      <c r="E87" s="226"/>
    </row>
    <row r="88" spans="1:5" s="53" customFormat="1" ht="12" customHeight="1" thickBot="1" x14ac:dyDescent="0.2">
      <c r="A88" s="202" t="s">
        <v>394</v>
      </c>
      <c r="B88" s="112" t="s">
        <v>241</v>
      </c>
      <c r="C88" s="225"/>
      <c r="D88" s="225"/>
      <c r="E88" s="226"/>
    </row>
    <row r="89" spans="1:5" s="53" customFormat="1" ht="12" customHeight="1" thickBot="1" x14ac:dyDescent="0.2">
      <c r="A89" s="202" t="s">
        <v>395</v>
      </c>
      <c r="B89" s="189" t="s">
        <v>379</v>
      </c>
      <c r="C89" s="175">
        <f>+C66+C70+C75+C78+C82+C88+C87</f>
        <v>0</v>
      </c>
      <c r="D89" s="175">
        <f>+D66+D70+D75+D78+D82+D88+D87</f>
        <v>0</v>
      </c>
      <c r="E89" s="211">
        <f>+E66+E70+E75+E78+E82+E88+E87</f>
        <v>0</v>
      </c>
    </row>
    <row r="90" spans="1:5" s="53" customFormat="1" ht="12" customHeight="1" thickBot="1" x14ac:dyDescent="0.2">
      <c r="A90" s="206" t="s">
        <v>396</v>
      </c>
      <c r="B90" s="190" t="s">
        <v>397</v>
      </c>
      <c r="C90" s="175">
        <f>+C65+C89</f>
        <v>0</v>
      </c>
      <c r="D90" s="175">
        <f>+D65+D89</f>
        <v>0</v>
      </c>
      <c r="E90" s="211">
        <f>+E65+E89</f>
        <v>0</v>
      </c>
    </row>
    <row r="91" spans="1:5" s="54" customFormat="1" ht="15.2" customHeight="1" thickBot="1" x14ac:dyDescent="0.25">
      <c r="A91" s="89"/>
      <c r="B91" s="90"/>
      <c r="C91" s="151"/>
    </row>
    <row r="92" spans="1:5" s="47" customFormat="1" ht="16.5" customHeight="1" thickBot="1" x14ac:dyDescent="0.25">
      <c r="A92" s="862" t="s">
        <v>40</v>
      </c>
      <c r="B92" s="863"/>
      <c r="C92" s="863"/>
      <c r="D92" s="863"/>
      <c r="E92" s="864"/>
    </row>
    <row r="93" spans="1:5" s="55" customFormat="1" ht="12" customHeight="1" thickBot="1" x14ac:dyDescent="0.25">
      <c r="A93" s="176" t="s">
        <v>6</v>
      </c>
      <c r="B93" s="24" t="s">
        <v>401</v>
      </c>
      <c r="C93" s="168">
        <f>+C94+C95+C96+C97+C98+C111</f>
        <v>0</v>
      </c>
      <c r="D93" s="168">
        <f>+D94+D95+D96+D97+D98+D111</f>
        <v>0</v>
      </c>
      <c r="E93" s="239">
        <f>+E94+E95+E96+E97+E98+E111</f>
        <v>0</v>
      </c>
    </row>
    <row r="94" spans="1:5" ht="12" customHeight="1" x14ac:dyDescent="0.2">
      <c r="A94" s="207" t="s">
        <v>63</v>
      </c>
      <c r="B94" s="8" t="s">
        <v>35</v>
      </c>
      <c r="C94" s="246"/>
      <c r="D94" s="246"/>
      <c r="E94" s="240"/>
    </row>
    <row r="95" spans="1:5" ht="12" customHeight="1" x14ac:dyDescent="0.2">
      <c r="A95" s="200" t="s">
        <v>64</v>
      </c>
      <c r="B95" s="6" t="s">
        <v>121</v>
      </c>
      <c r="C95" s="170"/>
      <c r="D95" s="170"/>
      <c r="E95" s="106"/>
    </row>
    <row r="96" spans="1:5" ht="12" customHeight="1" x14ac:dyDescent="0.2">
      <c r="A96" s="200" t="s">
        <v>65</v>
      </c>
      <c r="B96" s="6" t="s">
        <v>89</v>
      </c>
      <c r="C96" s="172"/>
      <c r="D96" s="170"/>
      <c r="E96" s="108"/>
    </row>
    <row r="97" spans="1:5" ht="12" customHeight="1" x14ac:dyDescent="0.2">
      <c r="A97" s="200" t="s">
        <v>66</v>
      </c>
      <c r="B97" s="9" t="s">
        <v>122</v>
      </c>
      <c r="C97" s="172"/>
      <c r="D97" s="259"/>
      <c r="E97" s="108"/>
    </row>
    <row r="98" spans="1:5" ht="12" customHeight="1" x14ac:dyDescent="0.2">
      <c r="A98" s="200" t="s">
        <v>75</v>
      </c>
      <c r="B98" s="17" t="s">
        <v>123</v>
      </c>
      <c r="C98" s="172"/>
      <c r="D98" s="259"/>
      <c r="E98" s="108"/>
    </row>
    <row r="99" spans="1:5" ht="12" customHeight="1" x14ac:dyDescent="0.2">
      <c r="A99" s="200" t="s">
        <v>67</v>
      </c>
      <c r="B99" s="6" t="s">
        <v>398</v>
      </c>
      <c r="C99" s="172"/>
      <c r="D99" s="259"/>
      <c r="E99" s="108"/>
    </row>
    <row r="100" spans="1:5" ht="12" customHeight="1" x14ac:dyDescent="0.2">
      <c r="A100" s="200" t="s">
        <v>68</v>
      </c>
      <c r="B100" s="65" t="s">
        <v>342</v>
      </c>
      <c r="C100" s="172"/>
      <c r="D100" s="259"/>
      <c r="E100" s="108"/>
    </row>
    <row r="101" spans="1:5" ht="12" customHeight="1" x14ac:dyDescent="0.2">
      <c r="A101" s="200" t="s">
        <v>76</v>
      </c>
      <c r="B101" s="65" t="s">
        <v>341</v>
      </c>
      <c r="C101" s="172"/>
      <c r="D101" s="259"/>
      <c r="E101" s="108"/>
    </row>
    <row r="102" spans="1:5" ht="12" customHeight="1" x14ac:dyDescent="0.2">
      <c r="A102" s="200" t="s">
        <v>77</v>
      </c>
      <c r="B102" s="65" t="s">
        <v>257</v>
      </c>
      <c r="C102" s="172"/>
      <c r="D102" s="259"/>
      <c r="E102" s="108"/>
    </row>
    <row r="103" spans="1:5" ht="12" customHeight="1" x14ac:dyDescent="0.2">
      <c r="A103" s="200" t="s">
        <v>78</v>
      </c>
      <c r="B103" s="66" t="s">
        <v>258</v>
      </c>
      <c r="C103" s="172"/>
      <c r="D103" s="259"/>
      <c r="E103" s="108"/>
    </row>
    <row r="104" spans="1:5" ht="12" customHeight="1" x14ac:dyDescent="0.2">
      <c r="A104" s="200" t="s">
        <v>79</v>
      </c>
      <c r="B104" s="66" t="s">
        <v>259</v>
      </c>
      <c r="C104" s="172"/>
      <c r="D104" s="259"/>
      <c r="E104" s="108"/>
    </row>
    <row r="105" spans="1:5" ht="12" customHeight="1" x14ac:dyDescent="0.2">
      <c r="A105" s="200" t="s">
        <v>81</v>
      </c>
      <c r="B105" s="65" t="s">
        <v>260</v>
      </c>
      <c r="C105" s="172"/>
      <c r="D105" s="259"/>
      <c r="E105" s="108"/>
    </row>
    <row r="106" spans="1:5" ht="12" customHeight="1" x14ac:dyDescent="0.2">
      <c r="A106" s="200" t="s">
        <v>124</v>
      </c>
      <c r="B106" s="65" t="s">
        <v>261</v>
      </c>
      <c r="C106" s="172"/>
      <c r="D106" s="259"/>
      <c r="E106" s="108"/>
    </row>
    <row r="107" spans="1:5" ht="12" customHeight="1" x14ac:dyDescent="0.2">
      <c r="A107" s="200" t="s">
        <v>255</v>
      </c>
      <c r="B107" s="66" t="s">
        <v>262</v>
      </c>
      <c r="C107" s="170"/>
      <c r="D107" s="259"/>
      <c r="E107" s="108"/>
    </row>
    <row r="108" spans="1:5" ht="12" customHeight="1" x14ac:dyDescent="0.2">
      <c r="A108" s="208" t="s">
        <v>256</v>
      </c>
      <c r="B108" s="67" t="s">
        <v>263</v>
      </c>
      <c r="C108" s="172"/>
      <c r="D108" s="259"/>
      <c r="E108" s="108"/>
    </row>
    <row r="109" spans="1:5" ht="12" customHeight="1" x14ac:dyDescent="0.2">
      <c r="A109" s="200" t="s">
        <v>339</v>
      </c>
      <c r="B109" s="67" t="s">
        <v>264</v>
      </c>
      <c r="C109" s="172"/>
      <c r="D109" s="259"/>
      <c r="E109" s="108"/>
    </row>
    <row r="110" spans="1:5" ht="12" customHeight="1" x14ac:dyDescent="0.2">
      <c r="A110" s="200" t="s">
        <v>340</v>
      </c>
      <c r="B110" s="66" t="s">
        <v>265</v>
      </c>
      <c r="C110" s="170"/>
      <c r="D110" s="258"/>
      <c r="E110" s="106"/>
    </row>
    <row r="111" spans="1:5" ht="12" customHeight="1" x14ac:dyDescent="0.2">
      <c r="A111" s="200" t="s">
        <v>344</v>
      </c>
      <c r="B111" s="9" t="s">
        <v>36</v>
      </c>
      <c r="C111" s="170"/>
      <c r="D111" s="258"/>
      <c r="E111" s="106"/>
    </row>
    <row r="112" spans="1:5" ht="12" customHeight="1" x14ac:dyDescent="0.2">
      <c r="A112" s="201" t="s">
        <v>345</v>
      </c>
      <c r="B112" s="6" t="s">
        <v>399</v>
      </c>
      <c r="C112" s="172"/>
      <c r="D112" s="259"/>
      <c r="E112" s="108"/>
    </row>
    <row r="113" spans="1:5" ht="12" customHeight="1" thickBot="1" x14ac:dyDescent="0.25">
      <c r="A113" s="209" t="s">
        <v>346</v>
      </c>
      <c r="B113" s="68" t="s">
        <v>400</v>
      </c>
      <c r="C113" s="247"/>
      <c r="D113" s="296"/>
      <c r="E113" s="241"/>
    </row>
    <row r="114" spans="1:5" ht="12" customHeight="1" thickBot="1" x14ac:dyDescent="0.25">
      <c r="A114" s="25" t="s">
        <v>7</v>
      </c>
      <c r="B114" s="23" t="s">
        <v>266</v>
      </c>
      <c r="C114" s="169">
        <f>+C115+C117+C119</f>
        <v>0</v>
      </c>
      <c r="D114" s="256">
        <f>+D115+D117+D119</f>
        <v>0</v>
      </c>
      <c r="E114" s="105">
        <f>+E115+E117+E119</f>
        <v>0</v>
      </c>
    </row>
    <row r="115" spans="1:5" ht="12" customHeight="1" x14ac:dyDescent="0.2">
      <c r="A115" s="199" t="s">
        <v>69</v>
      </c>
      <c r="B115" s="6" t="s">
        <v>142</v>
      </c>
      <c r="C115" s="171"/>
      <c r="D115" s="257"/>
      <c r="E115" s="107"/>
    </row>
    <row r="116" spans="1:5" ht="12" customHeight="1" x14ac:dyDescent="0.2">
      <c r="A116" s="199" t="s">
        <v>70</v>
      </c>
      <c r="B116" s="10" t="s">
        <v>270</v>
      </c>
      <c r="C116" s="171"/>
      <c r="D116" s="257"/>
      <c r="E116" s="107"/>
    </row>
    <row r="117" spans="1:5" ht="12" customHeight="1" x14ac:dyDescent="0.2">
      <c r="A117" s="199" t="s">
        <v>71</v>
      </c>
      <c r="B117" s="10" t="s">
        <v>125</v>
      </c>
      <c r="C117" s="170"/>
      <c r="D117" s="258"/>
      <c r="E117" s="106"/>
    </row>
    <row r="118" spans="1:5" ht="12" customHeight="1" x14ac:dyDescent="0.2">
      <c r="A118" s="199" t="s">
        <v>72</v>
      </c>
      <c r="B118" s="10" t="s">
        <v>271</v>
      </c>
      <c r="C118" s="170"/>
      <c r="D118" s="258"/>
      <c r="E118" s="106"/>
    </row>
    <row r="119" spans="1:5" ht="12" customHeight="1" x14ac:dyDescent="0.2">
      <c r="A119" s="199" t="s">
        <v>73</v>
      </c>
      <c r="B119" s="114" t="s">
        <v>144</v>
      </c>
      <c r="C119" s="170"/>
      <c r="D119" s="258"/>
      <c r="E119" s="106"/>
    </row>
    <row r="120" spans="1:5" ht="12" customHeight="1" x14ac:dyDescent="0.2">
      <c r="A120" s="199" t="s">
        <v>80</v>
      </c>
      <c r="B120" s="113" t="s">
        <v>331</v>
      </c>
      <c r="C120" s="170"/>
      <c r="D120" s="258"/>
      <c r="E120" s="106"/>
    </row>
    <row r="121" spans="1:5" ht="12" customHeight="1" x14ac:dyDescent="0.2">
      <c r="A121" s="199" t="s">
        <v>82</v>
      </c>
      <c r="B121" s="178" t="s">
        <v>276</v>
      </c>
      <c r="C121" s="170"/>
      <c r="D121" s="258"/>
      <c r="E121" s="106"/>
    </row>
    <row r="122" spans="1:5" ht="12" customHeight="1" x14ac:dyDescent="0.2">
      <c r="A122" s="199" t="s">
        <v>126</v>
      </c>
      <c r="B122" s="66" t="s">
        <v>259</v>
      </c>
      <c r="C122" s="170"/>
      <c r="D122" s="258"/>
      <c r="E122" s="106"/>
    </row>
    <row r="123" spans="1:5" ht="12" customHeight="1" x14ac:dyDescent="0.2">
      <c r="A123" s="199" t="s">
        <v>127</v>
      </c>
      <c r="B123" s="66" t="s">
        <v>275</v>
      </c>
      <c r="C123" s="170"/>
      <c r="D123" s="258"/>
      <c r="E123" s="106"/>
    </row>
    <row r="124" spans="1:5" ht="12" customHeight="1" x14ac:dyDescent="0.2">
      <c r="A124" s="199" t="s">
        <v>128</v>
      </c>
      <c r="B124" s="66" t="s">
        <v>274</v>
      </c>
      <c r="C124" s="170"/>
      <c r="D124" s="258"/>
      <c r="E124" s="106"/>
    </row>
    <row r="125" spans="1:5" ht="12" customHeight="1" x14ac:dyDescent="0.2">
      <c r="A125" s="199" t="s">
        <v>267</v>
      </c>
      <c r="B125" s="66" t="s">
        <v>262</v>
      </c>
      <c r="C125" s="170"/>
      <c r="D125" s="258"/>
      <c r="E125" s="106"/>
    </row>
    <row r="126" spans="1:5" ht="12" customHeight="1" x14ac:dyDescent="0.2">
      <c r="A126" s="199" t="s">
        <v>268</v>
      </c>
      <c r="B126" s="66" t="s">
        <v>273</v>
      </c>
      <c r="C126" s="170"/>
      <c r="D126" s="258"/>
      <c r="E126" s="106"/>
    </row>
    <row r="127" spans="1:5" ht="12" customHeight="1" thickBot="1" x14ac:dyDescent="0.25">
      <c r="A127" s="208" t="s">
        <v>269</v>
      </c>
      <c r="B127" s="66" t="s">
        <v>272</v>
      </c>
      <c r="C127" s="172"/>
      <c r="D127" s="259"/>
      <c r="E127" s="108"/>
    </row>
    <row r="128" spans="1:5" ht="12" customHeight="1" thickBot="1" x14ac:dyDescent="0.25">
      <c r="A128" s="25" t="s">
        <v>8</v>
      </c>
      <c r="B128" s="59" t="s">
        <v>349</v>
      </c>
      <c r="C128" s="169">
        <f>+C93+C114</f>
        <v>0</v>
      </c>
      <c r="D128" s="256">
        <f>+D93+D114</f>
        <v>0</v>
      </c>
      <c r="E128" s="105">
        <f>+E93+E114</f>
        <v>0</v>
      </c>
    </row>
    <row r="129" spans="1:11" ht="12" customHeight="1" thickBot="1" x14ac:dyDescent="0.25">
      <c r="A129" s="25" t="s">
        <v>9</v>
      </c>
      <c r="B129" s="59" t="s">
        <v>350</v>
      </c>
      <c r="C129" s="169">
        <f>+C130+C131+C132</f>
        <v>0</v>
      </c>
      <c r="D129" s="256">
        <f>+D130+D131+D132</f>
        <v>0</v>
      </c>
      <c r="E129" s="105">
        <f>+E130+E131+E132</f>
        <v>0</v>
      </c>
    </row>
    <row r="130" spans="1:11" s="55" customFormat="1" ht="12" customHeight="1" x14ac:dyDescent="0.2">
      <c r="A130" s="199" t="s">
        <v>176</v>
      </c>
      <c r="B130" s="7" t="s">
        <v>404</v>
      </c>
      <c r="C130" s="170"/>
      <c r="D130" s="258"/>
      <c r="E130" s="106"/>
    </row>
    <row r="131" spans="1:11" ht="12" customHeight="1" x14ac:dyDescent="0.2">
      <c r="A131" s="199" t="s">
        <v>177</v>
      </c>
      <c r="B131" s="7" t="s">
        <v>358</v>
      </c>
      <c r="C131" s="170"/>
      <c r="D131" s="258"/>
      <c r="E131" s="106"/>
    </row>
    <row r="132" spans="1:11" ht="12" customHeight="1" thickBot="1" x14ac:dyDescent="0.25">
      <c r="A132" s="208" t="s">
        <v>178</v>
      </c>
      <c r="B132" s="5" t="s">
        <v>403</v>
      </c>
      <c r="C132" s="170"/>
      <c r="D132" s="258"/>
      <c r="E132" s="106"/>
    </row>
    <row r="133" spans="1:11" ht="12" customHeight="1" thickBot="1" x14ac:dyDescent="0.25">
      <c r="A133" s="25" t="s">
        <v>10</v>
      </c>
      <c r="B133" s="59" t="s">
        <v>351</v>
      </c>
      <c r="C133" s="169">
        <f>+C134+C135+C136+C137+C138+C139</f>
        <v>0</v>
      </c>
      <c r="D133" s="256">
        <f>+D134+D135+D136+D137+D138+D139</f>
        <v>0</v>
      </c>
      <c r="E133" s="105">
        <f>+E134+E135+E136+E137+E138+E139</f>
        <v>0</v>
      </c>
    </row>
    <row r="134" spans="1:11" ht="12" customHeight="1" x14ac:dyDescent="0.2">
      <c r="A134" s="199" t="s">
        <v>56</v>
      </c>
      <c r="B134" s="7" t="s">
        <v>360</v>
      </c>
      <c r="C134" s="170"/>
      <c r="D134" s="258"/>
      <c r="E134" s="106"/>
    </row>
    <row r="135" spans="1:11" ht="12" customHeight="1" x14ac:dyDescent="0.2">
      <c r="A135" s="199" t="s">
        <v>57</v>
      </c>
      <c r="B135" s="7" t="s">
        <v>352</v>
      </c>
      <c r="C135" s="170"/>
      <c r="D135" s="258"/>
      <c r="E135" s="106"/>
    </row>
    <row r="136" spans="1:11" ht="12" customHeight="1" x14ac:dyDescent="0.2">
      <c r="A136" s="199" t="s">
        <v>58</v>
      </c>
      <c r="B136" s="7" t="s">
        <v>353</v>
      </c>
      <c r="C136" s="170"/>
      <c r="D136" s="258"/>
      <c r="E136" s="106"/>
    </row>
    <row r="137" spans="1:11" ht="12" customHeight="1" x14ac:dyDescent="0.2">
      <c r="A137" s="199" t="s">
        <v>113</v>
      </c>
      <c r="B137" s="7" t="s">
        <v>402</v>
      </c>
      <c r="C137" s="170"/>
      <c r="D137" s="258"/>
      <c r="E137" s="106"/>
    </row>
    <row r="138" spans="1:11" ht="12" customHeight="1" x14ac:dyDescent="0.2">
      <c r="A138" s="199" t="s">
        <v>114</v>
      </c>
      <c r="B138" s="7" t="s">
        <v>355</v>
      </c>
      <c r="C138" s="170"/>
      <c r="D138" s="258"/>
      <c r="E138" s="106"/>
    </row>
    <row r="139" spans="1:11" s="55" customFormat="1" ht="12" customHeight="1" thickBot="1" x14ac:dyDescent="0.25">
      <c r="A139" s="208" t="s">
        <v>115</v>
      </c>
      <c r="B139" s="5" t="s">
        <v>356</v>
      </c>
      <c r="C139" s="170"/>
      <c r="D139" s="258"/>
      <c r="E139" s="106"/>
    </row>
    <row r="140" spans="1:11" ht="12" customHeight="1" thickBot="1" x14ac:dyDescent="0.25">
      <c r="A140" s="25" t="s">
        <v>11</v>
      </c>
      <c r="B140" s="59" t="s">
        <v>417</v>
      </c>
      <c r="C140" s="175">
        <f>+C141+C142+C144+C145+C143</f>
        <v>0</v>
      </c>
      <c r="D140" s="260">
        <f>+D141+D142+D144+D145+D143</f>
        <v>0</v>
      </c>
      <c r="E140" s="211">
        <f>+E141+E142+E144+E145+E143</f>
        <v>0</v>
      </c>
      <c r="K140" s="98"/>
    </row>
    <row r="141" spans="1:11" x14ac:dyDescent="0.2">
      <c r="A141" s="199" t="s">
        <v>59</v>
      </c>
      <c r="B141" s="7" t="s">
        <v>277</v>
      </c>
      <c r="C141" s="170"/>
      <c r="D141" s="258"/>
      <c r="E141" s="106"/>
    </row>
    <row r="142" spans="1:11" ht="12" customHeight="1" x14ac:dyDescent="0.2">
      <c r="A142" s="199" t="s">
        <v>60</v>
      </c>
      <c r="B142" s="7" t="s">
        <v>278</v>
      </c>
      <c r="C142" s="170"/>
      <c r="D142" s="258"/>
      <c r="E142" s="106"/>
    </row>
    <row r="143" spans="1:11" ht="12" customHeight="1" x14ac:dyDescent="0.2">
      <c r="A143" s="199" t="s">
        <v>194</v>
      </c>
      <c r="B143" s="7" t="s">
        <v>416</v>
      </c>
      <c r="C143" s="170"/>
      <c r="D143" s="258"/>
      <c r="E143" s="106"/>
    </row>
    <row r="144" spans="1:11" s="55" customFormat="1" ht="12" customHeight="1" x14ac:dyDescent="0.2">
      <c r="A144" s="199" t="s">
        <v>195</v>
      </c>
      <c r="B144" s="7" t="s">
        <v>365</v>
      </c>
      <c r="C144" s="170"/>
      <c r="D144" s="258"/>
      <c r="E144" s="106"/>
    </row>
    <row r="145" spans="1:5" s="55" customFormat="1" ht="12" customHeight="1" thickBot="1" x14ac:dyDescent="0.25">
      <c r="A145" s="208" t="s">
        <v>196</v>
      </c>
      <c r="B145" s="5" t="s">
        <v>294</v>
      </c>
      <c r="C145" s="170"/>
      <c r="D145" s="258"/>
      <c r="E145" s="106"/>
    </row>
    <row r="146" spans="1:5" s="55" customFormat="1" ht="12" customHeight="1" thickBot="1" x14ac:dyDescent="0.25">
      <c r="A146" s="25" t="s">
        <v>12</v>
      </c>
      <c r="B146" s="59" t="s">
        <v>366</v>
      </c>
      <c r="C146" s="249">
        <f>+C147+C148+C149+C150+C151</f>
        <v>0</v>
      </c>
      <c r="D146" s="261">
        <f>+D147+D148+D149+D150+D151</f>
        <v>0</v>
      </c>
      <c r="E146" s="243">
        <f>+E147+E148+E149+E150+E151</f>
        <v>0</v>
      </c>
    </row>
    <row r="147" spans="1:5" s="55" customFormat="1" ht="12" customHeight="1" x14ac:dyDescent="0.2">
      <c r="A147" s="199" t="s">
        <v>61</v>
      </c>
      <c r="B147" s="7" t="s">
        <v>361</v>
      </c>
      <c r="C147" s="170"/>
      <c r="D147" s="258"/>
      <c r="E147" s="106"/>
    </row>
    <row r="148" spans="1:5" s="55" customFormat="1" ht="12" customHeight="1" x14ac:dyDescent="0.2">
      <c r="A148" s="199" t="s">
        <v>62</v>
      </c>
      <c r="B148" s="7" t="s">
        <v>368</v>
      </c>
      <c r="C148" s="170"/>
      <c r="D148" s="258"/>
      <c r="E148" s="106"/>
    </row>
    <row r="149" spans="1:5" s="55" customFormat="1" ht="12" customHeight="1" x14ac:dyDescent="0.2">
      <c r="A149" s="199" t="s">
        <v>206</v>
      </c>
      <c r="B149" s="7" t="s">
        <v>363</v>
      </c>
      <c r="C149" s="170"/>
      <c r="D149" s="258"/>
      <c r="E149" s="106"/>
    </row>
    <row r="150" spans="1:5" s="55" customFormat="1" ht="12" customHeight="1" x14ac:dyDescent="0.2">
      <c r="A150" s="199" t="s">
        <v>207</v>
      </c>
      <c r="B150" s="7" t="s">
        <v>405</v>
      </c>
      <c r="C150" s="170"/>
      <c r="D150" s="258"/>
      <c r="E150" s="106"/>
    </row>
    <row r="151" spans="1:5" ht="12.75" customHeight="1" thickBot="1" x14ac:dyDescent="0.25">
      <c r="A151" s="208" t="s">
        <v>367</v>
      </c>
      <c r="B151" s="5" t="s">
        <v>370</v>
      </c>
      <c r="C151" s="172"/>
      <c r="D151" s="259"/>
      <c r="E151" s="108"/>
    </row>
    <row r="152" spans="1:5" ht="12.75" customHeight="1" thickBot="1" x14ac:dyDescent="0.25">
      <c r="A152" s="238" t="s">
        <v>13</v>
      </c>
      <c r="B152" s="59" t="s">
        <v>371</v>
      </c>
      <c r="C152" s="249"/>
      <c r="D152" s="261"/>
      <c r="E152" s="243"/>
    </row>
    <row r="153" spans="1:5" ht="12.75" customHeight="1" thickBot="1" x14ac:dyDescent="0.25">
      <c r="A153" s="238" t="s">
        <v>14</v>
      </c>
      <c r="B153" s="59" t="s">
        <v>372</v>
      </c>
      <c r="C153" s="249"/>
      <c r="D153" s="261"/>
      <c r="E153" s="243"/>
    </row>
    <row r="154" spans="1:5" ht="12" customHeight="1" thickBot="1" x14ac:dyDescent="0.25">
      <c r="A154" s="25" t="s">
        <v>15</v>
      </c>
      <c r="B154" s="59" t="s">
        <v>374</v>
      </c>
      <c r="C154" s="251">
        <f>+C129+C133+C140+C146+C152+C153</f>
        <v>0</v>
      </c>
      <c r="D154" s="263">
        <f>+D129+D133+D140+D146+D152+D153</f>
        <v>0</v>
      </c>
      <c r="E154" s="245">
        <f>+E129+E133+E140+E146+E152+E153</f>
        <v>0</v>
      </c>
    </row>
    <row r="155" spans="1:5" ht="15.2" customHeight="1" thickBot="1" x14ac:dyDescent="0.25">
      <c r="A155" s="210" t="s">
        <v>16</v>
      </c>
      <c r="B155" s="156" t="s">
        <v>373</v>
      </c>
      <c r="C155" s="251">
        <f>+C128+C154</f>
        <v>0</v>
      </c>
      <c r="D155" s="263">
        <f>+D128+D154</f>
        <v>0</v>
      </c>
      <c r="E155" s="245">
        <f>+E128+E154</f>
        <v>0</v>
      </c>
    </row>
    <row r="156" spans="1:5" ht="13.5" thickBot="1" x14ac:dyDescent="0.25">
      <c r="A156" s="159"/>
      <c r="B156" s="160"/>
      <c r="C156" s="627">
        <f>C90-C155</f>
        <v>0</v>
      </c>
      <c r="D156" s="627">
        <f>D90-D155</f>
        <v>0</v>
      </c>
      <c r="E156" s="161"/>
    </row>
    <row r="157" spans="1:5" ht="15.2" customHeight="1" thickBot="1" x14ac:dyDescent="0.25">
      <c r="A157" s="305" t="s">
        <v>484</v>
      </c>
      <c r="B157" s="306"/>
      <c r="C157" s="295"/>
      <c r="D157" s="295"/>
      <c r="E157" s="294"/>
    </row>
    <row r="158" spans="1:5" ht="14.45" customHeight="1" thickBot="1" x14ac:dyDescent="0.25">
      <c r="A158" s="307" t="s">
        <v>485</v>
      </c>
      <c r="B158" s="308"/>
      <c r="C158" s="295"/>
      <c r="D158" s="295"/>
      <c r="E158" s="294"/>
    </row>
  </sheetData>
  <sheetProtection sheet="1" formatCells="0"/>
  <mergeCells count="5">
    <mergeCell ref="B2:D2"/>
    <mergeCell ref="B3:D3"/>
    <mergeCell ref="A7:E7"/>
    <mergeCell ref="A92:E92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BF19-3BBE-4C38-A517-B64A8A28DB3D}">
  <sheetPr>
    <tabColor theme="5"/>
  </sheetPr>
  <dimension ref="A1:E61"/>
  <sheetViews>
    <sheetView zoomScale="120" zoomScaleNormal="120" workbookViewId="0">
      <selection activeCell="E61" sqref="E61"/>
    </sheetView>
  </sheetViews>
  <sheetFormatPr defaultRowHeight="12.75" x14ac:dyDescent="0.2"/>
  <cols>
    <col min="1" max="1" width="13" style="94" customWidth="1"/>
    <col min="2" max="2" width="59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CONCATENATE("6.2. melléklet ",Z_ALAPADATOK!A7," ",Z_ALAPADATOK!B7," ",Z_ALAPADATOK!C7," ",Z_ALAPADATOK!D7," ",Z_ALAPADATOK!E7," ",Z_ALAPADATOK!F7," ",Z_ALAPADATOK!G7," ",Z_ALAPADATOK!H7)</f>
        <v>6.2. melléklet a … / 2022. ( … ) önkormányzati rendelethez</v>
      </c>
      <c r="C1" s="867"/>
      <c r="D1" s="867"/>
      <c r="E1" s="867"/>
    </row>
    <row r="2" spans="1:5" s="217" customFormat="1" ht="24.75" thickBot="1" x14ac:dyDescent="0.25">
      <c r="A2" s="328" t="s">
        <v>452</v>
      </c>
      <c r="B2" s="868" t="s">
        <v>303</v>
      </c>
      <c r="C2" s="869"/>
      <c r="D2" s="870"/>
      <c r="E2" s="329" t="s">
        <v>42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50">
        <f>SUM(E9:E19)</f>
        <v>3573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119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119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119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119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119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119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276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119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121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121"/>
      <c r="E19" s="271">
        <v>3573</v>
      </c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122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119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119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119"/>
      <c r="E23" s="270"/>
    </row>
    <row r="24" spans="1:5" s="220" customFormat="1" ht="12" customHeight="1" thickBot="1" x14ac:dyDescent="0.25">
      <c r="A24" s="213" t="s">
        <v>72</v>
      </c>
      <c r="B24" s="6" t="s">
        <v>407</v>
      </c>
      <c r="C24" s="119"/>
      <c r="D24" s="119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>
        <v>60000</v>
      </c>
      <c r="D25" s="300">
        <v>60000</v>
      </c>
      <c r="E25" s="149">
        <v>15000</v>
      </c>
    </row>
    <row r="26" spans="1:5" s="220" customFormat="1" ht="12" customHeight="1" thickBot="1" x14ac:dyDescent="0.25">
      <c r="A26" s="81" t="s">
        <v>9</v>
      </c>
      <c r="B26" s="59" t="s">
        <v>408</v>
      </c>
      <c r="C26" s="122">
        <f>+C27+C28+C29</f>
        <v>0</v>
      </c>
      <c r="D26" s="122">
        <f>+D27+D28+D29</f>
        <v>0</v>
      </c>
      <c r="E26" s="150">
        <f>+E27+E28+E29</f>
        <v>0</v>
      </c>
    </row>
    <row r="27" spans="1:5" s="220" customFormat="1" ht="12" customHeight="1" x14ac:dyDescent="0.2">
      <c r="A27" s="214" t="s">
        <v>176</v>
      </c>
      <c r="B27" s="215" t="s">
        <v>172</v>
      </c>
      <c r="C27" s="277"/>
      <c r="D27" s="277"/>
      <c r="E27" s="275"/>
    </row>
    <row r="28" spans="1:5" s="220" customFormat="1" ht="12" customHeight="1" x14ac:dyDescent="0.2">
      <c r="A28" s="214" t="s">
        <v>177</v>
      </c>
      <c r="B28" s="215" t="s">
        <v>307</v>
      </c>
      <c r="C28" s="119"/>
      <c r="D28" s="119"/>
      <c r="E28" s="270"/>
    </row>
    <row r="29" spans="1:5" s="220" customFormat="1" ht="12" customHeight="1" x14ac:dyDescent="0.2">
      <c r="A29" s="214" t="s">
        <v>178</v>
      </c>
      <c r="B29" s="216" t="s">
        <v>310</v>
      </c>
      <c r="C29" s="119"/>
      <c r="D29" s="119"/>
      <c r="E29" s="270"/>
    </row>
    <row r="30" spans="1:5" s="220" customFormat="1" ht="12" customHeight="1" thickBot="1" x14ac:dyDescent="0.25">
      <c r="A30" s="213" t="s">
        <v>179</v>
      </c>
      <c r="B30" s="64" t="s">
        <v>409</v>
      </c>
      <c r="C30" s="50"/>
      <c r="D30" s="50"/>
      <c r="E30" s="299"/>
    </row>
    <row r="31" spans="1:5" s="220" customFormat="1" ht="12" customHeight="1" thickBot="1" x14ac:dyDescent="0.25">
      <c r="A31" s="81" t="s">
        <v>10</v>
      </c>
      <c r="B31" s="59" t="s">
        <v>311</v>
      </c>
      <c r="C31" s="122">
        <f>+C32+C33+C34</f>
        <v>0</v>
      </c>
      <c r="D31" s="122">
        <f>+D32+D33+D34</f>
        <v>0</v>
      </c>
      <c r="E31" s="150">
        <f>+E32+E33+E34</f>
        <v>0</v>
      </c>
    </row>
    <row r="32" spans="1:5" s="220" customFormat="1" ht="12" customHeight="1" x14ac:dyDescent="0.2">
      <c r="A32" s="214" t="s">
        <v>56</v>
      </c>
      <c r="B32" s="215" t="s">
        <v>197</v>
      </c>
      <c r="C32" s="277"/>
      <c r="D32" s="277"/>
      <c r="E32" s="275"/>
    </row>
    <row r="33" spans="1:5" s="220" customFormat="1" ht="12" customHeight="1" x14ac:dyDescent="0.2">
      <c r="A33" s="214" t="s">
        <v>57</v>
      </c>
      <c r="B33" s="216" t="s">
        <v>198</v>
      </c>
      <c r="C33" s="123"/>
      <c r="D33" s="123"/>
      <c r="E33" s="272"/>
    </row>
    <row r="34" spans="1:5" s="220" customFormat="1" ht="12" customHeight="1" thickBot="1" x14ac:dyDescent="0.25">
      <c r="A34" s="213" t="s">
        <v>58</v>
      </c>
      <c r="B34" s="64" t="s">
        <v>199</v>
      </c>
      <c r="C34" s="50"/>
      <c r="D34" s="50"/>
      <c r="E34" s="299"/>
    </row>
    <row r="35" spans="1:5" s="155" customFormat="1" ht="12" customHeight="1" thickBot="1" x14ac:dyDescent="0.25">
      <c r="A35" s="81" t="s">
        <v>11</v>
      </c>
      <c r="B35" s="59" t="s">
        <v>282</v>
      </c>
      <c r="C35" s="300"/>
      <c r="D35" s="300"/>
      <c r="E35" s="149"/>
    </row>
    <row r="36" spans="1:5" s="155" customFormat="1" ht="12" customHeight="1" thickBot="1" x14ac:dyDescent="0.25">
      <c r="A36" s="81" t="s">
        <v>12</v>
      </c>
      <c r="B36" s="59" t="s">
        <v>312</v>
      </c>
      <c r="C36" s="300"/>
      <c r="D36" s="300"/>
      <c r="E36" s="149"/>
    </row>
    <row r="37" spans="1:5" s="155" customFormat="1" ht="12" customHeight="1" thickBot="1" x14ac:dyDescent="0.25">
      <c r="A37" s="77" t="s">
        <v>13</v>
      </c>
      <c r="B37" s="59" t="s">
        <v>313</v>
      </c>
      <c r="C37" s="122">
        <f>+C8+C20+C25+C26+C31+C35+C36</f>
        <v>60000</v>
      </c>
      <c r="D37" s="122">
        <f>+D8+D20+D25+D26+D31+D35+D36</f>
        <v>60000</v>
      </c>
      <c r="E37" s="150">
        <f>+E8+E20+E25+E26+E31+E35+E36</f>
        <v>18573</v>
      </c>
    </row>
    <row r="38" spans="1:5" s="155" customFormat="1" ht="12" customHeight="1" thickBot="1" x14ac:dyDescent="0.25">
      <c r="A38" s="87" t="s">
        <v>14</v>
      </c>
      <c r="B38" s="59" t="s">
        <v>314</v>
      </c>
      <c r="C38" s="122">
        <f>+C39+C40+C41</f>
        <v>73255369</v>
      </c>
      <c r="D38" s="122">
        <f>+D39+D40+D41</f>
        <v>79502841</v>
      </c>
      <c r="E38" s="150">
        <f>+E39+E40+E41</f>
        <v>73750300</v>
      </c>
    </row>
    <row r="39" spans="1:5" s="155" customFormat="1" ht="12" customHeight="1" x14ac:dyDescent="0.2">
      <c r="A39" s="214" t="s">
        <v>315</v>
      </c>
      <c r="B39" s="215" t="s">
        <v>149</v>
      </c>
      <c r="C39" s="713">
        <v>76793</v>
      </c>
      <c r="D39" s="277">
        <v>76793</v>
      </c>
      <c r="E39" s="275">
        <v>76793</v>
      </c>
    </row>
    <row r="40" spans="1:5" s="155" customFormat="1" ht="12" customHeight="1" x14ac:dyDescent="0.2">
      <c r="A40" s="214" t="s">
        <v>316</v>
      </c>
      <c r="B40" s="216" t="s">
        <v>0</v>
      </c>
      <c r="C40" s="714"/>
      <c r="D40" s="123">
        <v>0</v>
      </c>
      <c r="E40" s="272"/>
    </row>
    <row r="41" spans="1:5" s="220" customFormat="1" ht="12" customHeight="1" thickBot="1" x14ac:dyDescent="0.25">
      <c r="A41" s="213" t="s">
        <v>317</v>
      </c>
      <c r="B41" s="64" t="s">
        <v>318</v>
      </c>
      <c r="C41" s="715">
        <v>73178576</v>
      </c>
      <c r="D41" s="50">
        <v>79426048</v>
      </c>
      <c r="E41" s="299">
        <v>73673507</v>
      </c>
    </row>
    <row r="42" spans="1:5" s="220" customFormat="1" ht="15.2" customHeight="1" thickBot="1" x14ac:dyDescent="0.25">
      <c r="A42" s="87" t="s">
        <v>15</v>
      </c>
      <c r="B42" s="88" t="s">
        <v>319</v>
      </c>
      <c r="C42" s="301">
        <f>+C37+C38</f>
        <v>73315369</v>
      </c>
      <c r="D42" s="301">
        <f>+D37+D38</f>
        <v>79562841</v>
      </c>
      <c r="E42" s="153">
        <f>+E37+E38</f>
        <v>73768873</v>
      </c>
    </row>
    <row r="43" spans="1:5" s="220" customFormat="1" ht="15.2" customHeight="1" x14ac:dyDescent="0.2">
      <c r="A43" s="89"/>
      <c r="B43" s="90"/>
      <c r="C43" s="151"/>
    </row>
    <row r="44" spans="1:5" ht="13.5" thickBot="1" x14ac:dyDescent="0.25">
      <c r="A44" s="91"/>
      <c r="B44" s="92"/>
      <c r="C44" s="152"/>
    </row>
    <row r="45" spans="1:5" s="219" customFormat="1" ht="16.5" customHeight="1" thickBot="1" x14ac:dyDescent="0.25">
      <c r="A45" s="862" t="s">
        <v>40</v>
      </c>
      <c r="B45" s="863"/>
      <c r="C45" s="863"/>
      <c r="D45" s="863"/>
      <c r="E45" s="864"/>
    </row>
    <row r="46" spans="1:5" s="221" customFormat="1" ht="12" customHeight="1" thickBot="1" x14ac:dyDescent="0.25">
      <c r="A46" s="81" t="s">
        <v>6</v>
      </c>
      <c r="B46" s="59" t="s">
        <v>320</v>
      </c>
      <c r="C46" s="122">
        <f>SUM(C47:C51)</f>
        <v>72045369</v>
      </c>
      <c r="D46" s="122">
        <f>SUM(D47:D51)</f>
        <v>79412734</v>
      </c>
      <c r="E46" s="150">
        <f>SUM(E47:E51)</f>
        <v>73363590</v>
      </c>
    </row>
    <row r="47" spans="1:5" ht="12" customHeight="1" x14ac:dyDescent="0.2">
      <c r="A47" s="213" t="s">
        <v>63</v>
      </c>
      <c r="B47" s="7" t="s">
        <v>35</v>
      </c>
      <c r="C47" s="716">
        <v>48204216</v>
      </c>
      <c r="D47" s="277">
        <v>55317509</v>
      </c>
      <c r="E47" s="275">
        <v>54008811</v>
      </c>
    </row>
    <row r="48" spans="1:5" ht="12" customHeight="1" x14ac:dyDescent="0.2">
      <c r="A48" s="213" t="s">
        <v>64</v>
      </c>
      <c r="B48" s="6" t="s">
        <v>121</v>
      </c>
      <c r="C48" s="717">
        <v>7661353</v>
      </c>
      <c r="D48" s="49">
        <v>8692078</v>
      </c>
      <c r="E48" s="273">
        <v>8666382</v>
      </c>
    </row>
    <row r="49" spans="1:5" ht="12" customHeight="1" x14ac:dyDescent="0.2">
      <c r="A49" s="213" t="s">
        <v>65</v>
      </c>
      <c r="B49" s="6" t="s">
        <v>89</v>
      </c>
      <c r="C49" s="717">
        <v>16179800</v>
      </c>
      <c r="D49" s="49">
        <v>15403147</v>
      </c>
      <c r="E49" s="273">
        <v>10688397</v>
      </c>
    </row>
    <row r="50" spans="1:5" ht="12" customHeight="1" x14ac:dyDescent="0.2">
      <c r="A50" s="213" t="s">
        <v>66</v>
      </c>
      <c r="B50" s="6" t="s">
        <v>122</v>
      </c>
      <c r="C50" s="49"/>
      <c r="D50" s="49"/>
      <c r="E50" s="273"/>
    </row>
    <row r="51" spans="1:5" ht="12" customHeight="1" thickBot="1" x14ac:dyDescent="0.25">
      <c r="A51" s="213" t="s">
        <v>96</v>
      </c>
      <c r="B51" s="6" t="s">
        <v>123</v>
      </c>
      <c r="C51" s="49"/>
      <c r="D51" s="49"/>
      <c r="E51" s="273"/>
    </row>
    <row r="52" spans="1:5" ht="12" customHeight="1" thickBot="1" x14ac:dyDescent="0.25">
      <c r="A52" s="81" t="s">
        <v>7</v>
      </c>
      <c r="B52" s="59" t="s">
        <v>321</v>
      </c>
      <c r="C52" s="122">
        <f>SUM(C53:C55)</f>
        <v>1270000</v>
      </c>
      <c r="D52" s="122">
        <f>SUM(D53:D55)</f>
        <v>150107</v>
      </c>
      <c r="E52" s="150">
        <f>SUM(E53:E55)</f>
        <v>150107</v>
      </c>
    </row>
    <row r="53" spans="1:5" s="221" customFormat="1" ht="12" customHeight="1" x14ac:dyDescent="0.2">
      <c r="A53" s="213" t="s">
        <v>69</v>
      </c>
      <c r="B53" s="7" t="s">
        <v>142</v>
      </c>
      <c r="C53" s="716">
        <v>1270000</v>
      </c>
      <c r="D53" s="277">
        <v>150107</v>
      </c>
      <c r="E53" s="275">
        <v>150107</v>
      </c>
    </row>
    <row r="54" spans="1:5" ht="12" customHeight="1" x14ac:dyDescent="0.2">
      <c r="A54" s="213" t="s">
        <v>70</v>
      </c>
      <c r="B54" s="6" t="s">
        <v>125</v>
      </c>
      <c r="C54" s="49"/>
      <c r="D54" s="49"/>
      <c r="E54" s="273"/>
    </row>
    <row r="55" spans="1:5" ht="12" customHeight="1" x14ac:dyDescent="0.2">
      <c r="A55" s="213" t="s">
        <v>71</v>
      </c>
      <c r="B55" s="6" t="s">
        <v>41</v>
      </c>
      <c r="C55" s="49"/>
      <c r="D55" s="49"/>
      <c r="E55" s="273"/>
    </row>
    <row r="56" spans="1:5" ht="12" customHeight="1" thickBot="1" x14ac:dyDescent="0.25">
      <c r="A56" s="213" t="s">
        <v>72</v>
      </c>
      <c r="B56" s="6" t="s">
        <v>410</v>
      </c>
      <c r="C56" s="49"/>
      <c r="D56" s="49"/>
      <c r="E56" s="273"/>
    </row>
    <row r="57" spans="1:5" ht="12" customHeight="1" thickBot="1" x14ac:dyDescent="0.25">
      <c r="A57" s="81" t="s">
        <v>8</v>
      </c>
      <c r="B57" s="59" t="s">
        <v>2</v>
      </c>
      <c r="C57" s="300"/>
      <c r="D57" s="300"/>
      <c r="E57" s="149"/>
    </row>
    <row r="58" spans="1:5" ht="15.2" customHeight="1" thickBot="1" x14ac:dyDescent="0.25">
      <c r="A58" s="81" t="s">
        <v>9</v>
      </c>
      <c r="B58" s="93" t="s">
        <v>414</v>
      </c>
      <c r="C58" s="301">
        <f>+C46+C52+C57</f>
        <v>73315369</v>
      </c>
      <c r="D58" s="301">
        <f>+D46+D52+D57</f>
        <v>79562841</v>
      </c>
      <c r="E58" s="153">
        <f>+E46+E52+E57</f>
        <v>73513697</v>
      </c>
    </row>
    <row r="59" spans="1:5" ht="13.5" thickBot="1" x14ac:dyDescent="0.25">
      <c r="C59" s="627">
        <f>C42-C58</f>
        <v>0</v>
      </c>
      <c r="D59" s="627">
        <f>D42-D58</f>
        <v>0</v>
      </c>
      <c r="E59" s="154"/>
    </row>
    <row r="60" spans="1:5" ht="15.2" customHeight="1" thickBot="1" x14ac:dyDescent="0.25">
      <c r="A60" s="305" t="s">
        <v>484</v>
      </c>
      <c r="B60" s="306"/>
      <c r="C60" s="295">
        <v>8</v>
      </c>
      <c r="D60" s="295">
        <v>8</v>
      </c>
      <c r="E60" s="294">
        <v>8</v>
      </c>
    </row>
    <row r="61" spans="1:5" ht="14.45" customHeight="1" thickBot="1" x14ac:dyDescent="0.25">
      <c r="A61" s="307" t="s">
        <v>485</v>
      </c>
      <c r="B61" s="308"/>
      <c r="C61" s="295"/>
      <c r="D61" s="295"/>
      <c r="E61" s="294"/>
    </row>
  </sheetData>
  <sheetProtection formatCells="0"/>
  <mergeCells count="5">
    <mergeCell ref="B2:D2"/>
    <mergeCell ref="B3:D3"/>
    <mergeCell ref="A7:E7"/>
    <mergeCell ref="A45:E45"/>
    <mergeCell ref="B1:E1"/>
  </mergeCells>
  <phoneticPr fontId="24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E730F-382C-468B-9446-6BAB134A0803}">
  <sheetPr>
    <tabColor theme="5"/>
  </sheetPr>
  <dimension ref="A1:E65"/>
  <sheetViews>
    <sheetView topLeftCell="A37" zoomScale="120" zoomScaleNormal="120" workbookViewId="0">
      <selection activeCell="B65" sqref="B65"/>
    </sheetView>
  </sheetViews>
  <sheetFormatPr defaultRowHeight="12.75" x14ac:dyDescent="0.2"/>
  <cols>
    <col min="1" max="1" width="13" style="94" customWidth="1"/>
    <col min="2" max="2" width="59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CONCATENATE("6.2.1. melléklet ",Z_ALAPADATOK!A7," ",Z_ALAPADATOK!B7," ",Z_ALAPADATOK!C7," ",Z_ALAPADATOK!D7," ",Z_ALAPADATOK!E7," ",Z_ALAPADATOK!F7," ",Z_ALAPADATOK!G7," ",Z_ALAPADATOK!H7)</f>
        <v>6.2.1. melléklet a … / 2022. ( … ) önkormányzati rendelethez</v>
      </c>
      <c r="C1" s="867"/>
      <c r="D1" s="867"/>
      <c r="E1" s="867"/>
    </row>
    <row r="2" spans="1:5" s="217" customFormat="1" ht="24.75" thickBot="1" x14ac:dyDescent="0.25">
      <c r="A2" s="328" t="s">
        <v>452</v>
      </c>
      <c r="B2" s="868" t="str">
        <f>CONCATENATE('Z_6.2.sz.mell'!B2:D2)</f>
        <v>Polgármesteri /közös/ hivatal</v>
      </c>
      <c r="C2" s="869"/>
      <c r="D2" s="870"/>
      <c r="E2" s="329" t="s">
        <v>42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'Z_6.2.sz.mell'!C8</f>
        <v>0</v>
      </c>
      <c r="D8" s="122">
        <f>'Z_6.2.sz.mell'!D8</f>
        <v>0</v>
      </c>
      <c r="E8" s="150">
        <f>'Z_6.2.sz.mell'!E8</f>
        <v>3573</v>
      </c>
    </row>
    <row r="9" spans="1:5" s="155" customFormat="1" ht="12" customHeight="1" x14ac:dyDescent="0.2">
      <c r="A9" s="212" t="s">
        <v>63</v>
      </c>
      <c r="B9" s="8" t="s">
        <v>183</v>
      </c>
      <c r="C9" s="278">
        <f>'Z_6.2.sz.mell'!C9</f>
        <v>0</v>
      </c>
      <c r="D9" s="278">
        <f>'Z_6.2.sz.mell'!D9</f>
        <v>0</v>
      </c>
      <c r="E9" s="298">
        <f>'Z_6.2.sz.mell'!E9</f>
        <v>0</v>
      </c>
    </row>
    <row r="10" spans="1:5" s="155" customFormat="1" ht="12" customHeight="1" x14ac:dyDescent="0.2">
      <c r="A10" s="213" t="s">
        <v>64</v>
      </c>
      <c r="B10" s="6" t="s">
        <v>184</v>
      </c>
      <c r="C10" s="119">
        <f>'Z_6.2.sz.mell'!C10</f>
        <v>0</v>
      </c>
      <c r="D10" s="119">
        <f>'Z_6.2.sz.mell'!D10</f>
        <v>0</v>
      </c>
      <c r="E10" s="270">
        <f>'Z_6.2.sz.mell'!E10</f>
        <v>0</v>
      </c>
    </row>
    <row r="11" spans="1:5" s="155" customFormat="1" ht="12" customHeight="1" x14ac:dyDescent="0.2">
      <c r="A11" s="213" t="s">
        <v>65</v>
      </c>
      <c r="B11" s="6" t="s">
        <v>185</v>
      </c>
      <c r="C11" s="119">
        <f>'Z_6.2.sz.mell'!C11</f>
        <v>0</v>
      </c>
      <c r="D11" s="119">
        <f>'Z_6.2.sz.mell'!D11</f>
        <v>0</v>
      </c>
      <c r="E11" s="270">
        <f>'Z_6.2.sz.mell'!E11</f>
        <v>0</v>
      </c>
    </row>
    <row r="12" spans="1:5" s="155" customFormat="1" ht="12" customHeight="1" x14ac:dyDescent="0.2">
      <c r="A12" s="213" t="s">
        <v>66</v>
      </c>
      <c r="B12" s="6" t="s">
        <v>186</v>
      </c>
      <c r="C12" s="119">
        <f>'Z_6.2.sz.mell'!C12</f>
        <v>0</v>
      </c>
      <c r="D12" s="119">
        <f>'Z_6.2.sz.mell'!D12</f>
        <v>0</v>
      </c>
      <c r="E12" s="270">
        <f>'Z_6.2.sz.mell'!E12</f>
        <v>0</v>
      </c>
    </row>
    <row r="13" spans="1:5" s="155" customFormat="1" ht="12" customHeight="1" x14ac:dyDescent="0.2">
      <c r="A13" s="213" t="s">
        <v>96</v>
      </c>
      <c r="B13" s="6" t="s">
        <v>187</v>
      </c>
      <c r="C13" s="119">
        <f>'Z_6.2.sz.mell'!C13</f>
        <v>0</v>
      </c>
      <c r="D13" s="119">
        <f>'Z_6.2.sz.mell'!D13</f>
        <v>0</v>
      </c>
      <c r="E13" s="270">
        <f>'Z_6.2.sz.mell'!E13</f>
        <v>0</v>
      </c>
    </row>
    <row r="14" spans="1:5" s="155" customFormat="1" ht="12" customHeight="1" x14ac:dyDescent="0.2">
      <c r="A14" s="213" t="s">
        <v>67</v>
      </c>
      <c r="B14" s="6" t="s">
        <v>304</v>
      </c>
      <c r="C14" s="119">
        <f>'Z_6.2.sz.mell'!C14</f>
        <v>0</v>
      </c>
      <c r="D14" s="119">
        <f>'Z_6.2.sz.mell'!D14</f>
        <v>0</v>
      </c>
      <c r="E14" s="270">
        <f>'Z_6.2.sz.mell'!E14</f>
        <v>0</v>
      </c>
    </row>
    <row r="15" spans="1:5" s="155" customFormat="1" ht="12" customHeight="1" x14ac:dyDescent="0.2">
      <c r="A15" s="213" t="s">
        <v>68</v>
      </c>
      <c r="B15" s="5" t="s">
        <v>305</v>
      </c>
      <c r="C15" s="119">
        <f>'Z_6.2.sz.mell'!C15</f>
        <v>0</v>
      </c>
      <c r="D15" s="119">
        <f>'Z_6.2.sz.mell'!D15</f>
        <v>0</v>
      </c>
      <c r="E15" s="270">
        <f>'Z_6.2.sz.mell'!E15</f>
        <v>0</v>
      </c>
    </row>
    <row r="16" spans="1:5" s="155" customFormat="1" ht="12" customHeight="1" x14ac:dyDescent="0.2">
      <c r="A16" s="213" t="s">
        <v>76</v>
      </c>
      <c r="B16" s="6" t="s">
        <v>190</v>
      </c>
      <c r="C16" s="276">
        <f>'Z_6.2.sz.mell'!C16</f>
        <v>0</v>
      </c>
      <c r="D16" s="276">
        <f>'Z_6.2.sz.mell'!D16</f>
        <v>0</v>
      </c>
      <c r="E16" s="274">
        <f>'Z_6.2.sz.mell'!E16</f>
        <v>0</v>
      </c>
    </row>
    <row r="17" spans="1:5" s="220" customFormat="1" ht="12" customHeight="1" x14ac:dyDescent="0.2">
      <c r="A17" s="213" t="s">
        <v>77</v>
      </c>
      <c r="B17" s="6" t="s">
        <v>191</v>
      </c>
      <c r="C17" s="119">
        <f>'Z_6.2.sz.mell'!C17</f>
        <v>0</v>
      </c>
      <c r="D17" s="119">
        <f>'Z_6.2.sz.mell'!D17</f>
        <v>0</v>
      </c>
      <c r="E17" s="270">
        <f>'Z_6.2.sz.mell'!E17</f>
        <v>0</v>
      </c>
    </row>
    <row r="18" spans="1:5" s="220" customFormat="1" ht="12" customHeight="1" x14ac:dyDescent="0.2">
      <c r="A18" s="213" t="s">
        <v>78</v>
      </c>
      <c r="B18" s="6" t="s">
        <v>337</v>
      </c>
      <c r="C18" s="121">
        <f>'Z_6.2.sz.mell'!C18</f>
        <v>0</v>
      </c>
      <c r="D18" s="121">
        <f>'Z_6.2.sz.mell'!D18</f>
        <v>0</v>
      </c>
      <c r="E18" s="271">
        <f>'Z_6.2.sz.mell'!E18</f>
        <v>0</v>
      </c>
    </row>
    <row r="19" spans="1:5" s="220" customFormat="1" ht="12" customHeight="1" thickBot="1" x14ac:dyDescent="0.25">
      <c r="A19" s="213" t="s">
        <v>79</v>
      </c>
      <c r="B19" s="5" t="s">
        <v>192</v>
      </c>
      <c r="C19" s="121">
        <f>'Z_6.2.sz.mell'!C19</f>
        <v>0</v>
      </c>
      <c r="D19" s="121">
        <f>'Z_6.2.sz.mell'!D19</f>
        <v>0</v>
      </c>
      <c r="E19" s="271">
        <f>'Z_6.2.sz.mell'!E19</f>
        <v>3573</v>
      </c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'Z_6.2.sz.mell'!C20</f>
        <v>0</v>
      </c>
      <c r="D20" s="122">
        <f>'Z_6.2.sz.mell'!D20</f>
        <v>0</v>
      </c>
      <c r="E20" s="150">
        <f>'Z_6.2.sz.mell'!E20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>
        <f>'Z_6.2.sz.mell'!C21</f>
        <v>0</v>
      </c>
      <c r="D21" s="119">
        <f>'Z_6.2.sz.mell'!D21</f>
        <v>0</v>
      </c>
      <c r="E21" s="270">
        <f>'Z_6.2.sz.mell'!E21</f>
        <v>0</v>
      </c>
    </row>
    <row r="22" spans="1:5" s="220" customFormat="1" ht="12" customHeight="1" x14ac:dyDescent="0.2">
      <c r="A22" s="213" t="s">
        <v>70</v>
      </c>
      <c r="B22" s="6" t="s">
        <v>307</v>
      </c>
      <c r="C22" s="119">
        <f>'Z_6.2.sz.mell'!C22</f>
        <v>0</v>
      </c>
      <c r="D22" s="119">
        <f>'Z_6.2.sz.mell'!D22</f>
        <v>0</v>
      </c>
      <c r="E22" s="270">
        <f>'Z_6.2.sz.mell'!E22</f>
        <v>0</v>
      </c>
    </row>
    <row r="23" spans="1:5" s="220" customFormat="1" ht="12" customHeight="1" x14ac:dyDescent="0.2">
      <c r="A23" s="213" t="s">
        <v>71</v>
      </c>
      <c r="B23" s="6" t="s">
        <v>308</v>
      </c>
      <c r="C23" s="119">
        <f>'Z_6.2.sz.mell'!C23</f>
        <v>0</v>
      </c>
      <c r="D23" s="119">
        <f>'Z_6.2.sz.mell'!D23</f>
        <v>0</v>
      </c>
      <c r="E23" s="270">
        <f>'Z_6.2.sz.mell'!E23</f>
        <v>0</v>
      </c>
    </row>
    <row r="24" spans="1:5" s="220" customFormat="1" ht="12" customHeight="1" thickBot="1" x14ac:dyDescent="0.25">
      <c r="A24" s="213" t="s">
        <v>72</v>
      </c>
      <c r="B24" s="6" t="s">
        <v>407</v>
      </c>
      <c r="C24" s="119">
        <f>'Z_6.2.sz.mell'!C24</f>
        <v>0</v>
      </c>
      <c r="D24" s="119">
        <f>'Z_6.2.sz.mell'!D24</f>
        <v>0</v>
      </c>
      <c r="E24" s="270">
        <f>'Z_6.2.sz.mell'!E24</f>
        <v>0</v>
      </c>
    </row>
    <row r="25" spans="1:5" s="220" customFormat="1" ht="12" customHeight="1" thickBot="1" x14ac:dyDescent="0.25">
      <c r="A25" s="81" t="s">
        <v>8</v>
      </c>
      <c r="B25" s="59" t="s">
        <v>112</v>
      </c>
      <c r="C25" s="300">
        <f>'Z_6.2.sz.mell'!C25</f>
        <v>60000</v>
      </c>
      <c r="D25" s="300">
        <f>'Z_6.2.sz.mell'!D25</f>
        <v>60000</v>
      </c>
      <c r="E25" s="149">
        <f>'Z_6.2.sz.mell'!E25</f>
        <v>15000</v>
      </c>
    </row>
    <row r="26" spans="1:5" s="220" customFormat="1" ht="12" customHeight="1" thickBot="1" x14ac:dyDescent="0.25">
      <c r="A26" s="81" t="s">
        <v>9</v>
      </c>
      <c r="B26" s="59" t="s">
        <v>408</v>
      </c>
      <c r="C26" s="122">
        <f>'Z_6.2.sz.mell'!C26</f>
        <v>0</v>
      </c>
      <c r="D26" s="122">
        <f>'Z_6.2.sz.mell'!D26</f>
        <v>0</v>
      </c>
      <c r="E26" s="150">
        <f>'Z_6.2.sz.mell'!E26</f>
        <v>0</v>
      </c>
    </row>
    <row r="27" spans="1:5" s="220" customFormat="1" ht="12" customHeight="1" x14ac:dyDescent="0.2">
      <c r="A27" s="214" t="s">
        <v>176</v>
      </c>
      <c r="B27" s="215" t="s">
        <v>172</v>
      </c>
      <c r="C27" s="277">
        <f>'Z_6.2.sz.mell'!C27</f>
        <v>0</v>
      </c>
      <c r="D27" s="277">
        <f>'Z_6.2.sz.mell'!D27</f>
        <v>0</v>
      </c>
      <c r="E27" s="275">
        <f>'Z_6.2.sz.mell'!E27</f>
        <v>0</v>
      </c>
    </row>
    <row r="28" spans="1:5" s="220" customFormat="1" ht="12" customHeight="1" x14ac:dyDescent="0.2">
      <c r="A28" s="214" t="s">
        <v>177</v>
      </c>
      <c r="B28" s="215" t="s">
        <v>307</v>
      </c>
      <c r="C28" s="119">
        <f>'Z_6.2.sz.mell'!C28</f>
        <v>0</v>
      </c>
      <c r="D28" s="119">
        <f>'Z_6.2.sz.mell'!D28</f>
        <v>0</v>
      </c>
      <c r="E28" s="270">
        <f>'Z_6.2.sz.mell'!E28</f>
        <v>0</v>
      </c>
    </row>
    <row r="29" spans="1:5" s="220" customFormat="1" ht="12" customHeight="1" x14ac:dyDescent="0.2">
      <c r="A29" s="214" t="s">
        <v>178</v>
      </c>
      <c r="B29" s="216" t="s">
        <v>310</v>
      </c>
      <c r="C29" s="119">
        <f>'Z_6.2.sz.mell'!C29</f>
        <v>0</v>
      </c>
      <c r="D29" s="119">
        <f>'Z_6.2.sz.mell'!D29</f>
        <v>0</v>
      </c>
      <c r="E29" s="270">
        <f>'Z_6.2.sz.mell'!E29</f>
        <v>0</v>
      </c>
    </row>
    <row r="30" spans="1:5" s="220" customFormat="1" ht="12" customHeight="1" thickBot="1" x14ac:dyDescent="0.25">
      <c r="A30" s="213" t="s">
        <v>179</v>
      </c>
      <c r="B30" s="64" t="s">
        <v>409</v>
      </c>
      <c r="C30" s="50">
        <f>'Z_6.2.sz.mell'!C30</f>
        <v>0</v>
      </c>
      <c r="D30" s="50">
        <f>'Z_6.2.sz.mell'!D30</f>
        <v>0</v>
      </c>
      <c r="E30" s="299">
        <f>'Z_6.2.sz.mell'!E30</f>
        <v>0</v>
      </c>
    </row>
    <row r="31" spans="1:5" s="220" customFormat="1" ht="12" customHeight="1" thickBot="1" x14ac:dyDescent="0.25">
      <c r="A31" s="81" t="s">
        <v>10</v>
      </c>
      <c r="B31" s="59" t="s">
        <v>311</v>
      </c>
      <c r="C31" s="122">
        <f>'Z_6.2.sz.mell'!C31</f>
        <v>0</v>
      </c>
      <c r="D31" s="122">
        <f>'Z_6.2.sz.mell'!D31</f>
        <v>0</v>
      </c>
      <c r="E31" s="150">
        <f>'Z_6.2.sz.mell'!E31</f>
        <v>0</v>
      </c>
    </row>
    <row r="32" spans="1:5" s="220" customFormat="1" ht="12" customHeight="1" x14ac:dyDescent="0.2">
      <c r="A32" s="214" t="s">
        <v>56</v>
      </c>
      <c r="B32" s="215" t="s">
        <v>197</v>
      </c>
      <c r="C32" s="277">
        <f>'Z_6.2.sz.mell'!C32</f>
        <v>0</v>
      </c>
      <c r="D32" s="277">
        <f>'Z_6.2.sz.mell'!D32</f>
        <v>0</v>
      </c>
      <c r="E32" s="275">
        <f>'Z_6.2.sz.mell'!E32</f>
        <v>0</v>
      </c>
    </row>
    <row r="33" spans="1:5" s="220" customFormat="1" ht="12" customHeight="1" x14ac:dyDescent="0.2">
      <c r="A33" s="214" t="s">
        <v>57</v>
      </c>
      <c r="B33" s="216" t="s">
        <v>198</v>
      </c>
      <c r="C33" s="123">
        <f>'Z_6.2.sz.mell'!C33</f>
        <v>0</v>
      </c>
      <c r="D33" s="123">
        <f>'Z_6.2.sz.mell'!D33</f>
        <v>0</v>
      </c>
      <c r="E33" s="272">
        <f>'Z_6.2.sz.mell'!E33</f>
        <v>0</v>
      </c>
    </row>
    <row r="34" spans="1:5" s="220" customFormat="1" ht="12" customHeight="1" thickBot="1" x14ac:dyDescent="0.25">
      <c r="A34" s="213" t="s">
        <v>58</v>
      </c>
      <c r="B34" s="64" t="s">
        <v>199</v>
      </c>
      <c r="C34" s="50">
        <f>'Z_6.2.sz.mell'!C34</f>
        <v>0</v>
      </c>
      <c r="D34" s="50">
        <f>'Z_6.2.sz.mell'!D34</f>
        <v>0</v>
      </c>
      <c r="E34" s="299">
        <f>'Z_6.2.sz.mell'!E34</f>
        <v>0</v>
      </c>
    </row>
    <row r="35" spans="1:5" s="155" customFormat="1" ht="12" customHeight="1" thickBot="1" x14ac:dyDescent="0.25">
      <c r="A35" s="81" t="s">
        <v>11</v>
      </c>
      <c r="B35" s="59" t="s">
        <v>282</v>
      </c>
      <c r="C35" s="300">
        <f>'Z_6.2.sz.mell'!C35</f>
        <v>0</v>
      </c>
      <c r="D35" s="300">
        <f>'Z_6.2.sz.mell'!D35</f>
        <v>0</v>
      </c>
      <c r="E35" s="149">
        <f>'Z_6.2.sz.mell'!E35</f>
        <v>0</v>
      </c>
    </row>
    <row r="36" spans="1:5" s="155" customFormat="1" ht="12" customHeight="1" thickBot="1" x14ac:dyDescent="0.25">
      <c r="A36" s="81" t="s">
        <v>12</v>
      </c>
      <c r="B36" s="59" t="s">
        <v>312</v>
      </c>
      <c r="C36" s="300">
        <f>'Z_6.2.sz.mell'!C36</f>
        <v>0</v>
      </c>
      <c r="D36" s="300">
        <f>'Z_6.2.sz.mell'!D36</f>
        <v>0</v>
      </c>
      <c r="E36" s="149">
        <f>'Z_6.2.sz.mell'!E36</f>
        <v>0</v>
      </c>
    </row>
    <row r="37" spans="1:5" s="155" customFormat="1" ht="12" customHeight="1" thickBot="1" x14ac:dyDescent="0.25">
      <c r="A37" s="77" t="s">
        <v>13</v>
      </c>
      <c r="B37" s="59" t="s">
        <v>313</v>
      </c>
      <c r="C37" s="122">
        <f>'Z_6.2.sz.mell'!C37</f>
        <v>60000</v>
      </c>
      <c r="D37" s="122">
        <f>'Z_6.2.sz.mell'!D37</f>
        <v>60000</v>
      </c>
      <c r="E37" s="150">
        <f>'Z_6.2.sz.mell'!E37</f>
        <v>18573</v>
      </c>
    </row>
    <row r="38" spans="1:5" s="155" customFormat="1" ht="12" customHeight="1" thickBot="1" x14ac:dyDescent="0.25">
      <c r="A38" s="87" t="s">
        <v>14</v>
      </c>
      <c r="B38" s="59" t="s">
        <v>314</v>
      </c>
      <c r="C38" s="122">
        <f>'Z_6.2.sz.mell'!C38</f>
        <v>73255369</v>
      </c>
      <c r="D38" s="122">
        <f>'Z_6.2.sz.mell'!D38</f>
        <v>79502841</v>
      </c>
      <c r="E38" s="150">
        <f>'Z_6.2.sz.mell'!E38</f>
        <v>73750300</v>
      </c>
    </row>
    <row r="39" spans="1:5" s="155" customFormat="1" ht="12" customHeight="1" x14ac:dyDescent="0.2">
      <c r="A39" s="214" t="s">
        <v>315</v>
      </c>
      <c r="B39" s="215" t="s">
        <v>149</v>
      </c>
      <c r="C39" s="277">
        <f>'Z_6.2.sz.mell'!C39</f>
        <v>76793</v>
      </c>
      <c r="D39" s="277">
        <f>'Z_6.2.sz.mell'!D39</f>
        <v>76793</v>
      </c>
      <c r="E39" s="275">
        <f>'Z_6.2.sz.mell'!E39</f>
        <v>76793</v>
      </c>
    </row>
    <row r="40" spans="1:5" s="155" customFormat="1" ht="12" customHeight="1" x14ac:dyDescent="0.2">
      <c r="A40" s="214" t="s">
        <v>316</v>
      </c>
      <c r="B40" s="216" t="s">
        <v>0</v>
      </c>
      <c r="C40" s="123">
        <f>'Z_6.2.sz.mell'!C40</f>
        <v>0</v>
      </c>
      <c r="D40" s="123">
        <f>'Z_6.2.sz.mell'!D40</f>
        <v>0</v>
      </c>
      <c r="E40" s="272">
        <f>'Z_6.2.sz.mell'!E40</f>
        <v>0</v>
      </c>
    </row>
    <row r="41" spans="1:5" s="220" customFormat="1" ht="12" customHeight="1" thickBot="1" x14ac:dyDescent="0.25">
      <c r="A41" s="213" t="s">
        <v>317</v>
      </c>
      <c r="B41" s="64" t="s">
        <v>318</v>
      </c>
      <c r="C41" s="50">
        <f>'Z_6.2.sz.mell'!C41</f>
        <v>73178576</v>
      </c>
      <c r="D41" s="50">
        <f>'Z_6.2.sz.mell'!D41</f>
        <v>79426048</v>
      </c>
      <c r="E41" s="299">
        <f>'Z_6.2.sz.mell'!E41</f>
        <v>73673507</v>
      </c>
    </row>
    <row r="42" spans="1:5" s="220" customFormat="1" ht="15.2" customHeight="1" thickBot="1" x14ac:dyDescent="0.25">
      <c r="A42" s="87" t="s">
        <v>15</v>
      </c>
      <c r="B42" s="88" t="s">
        <v>319</v>
      </c>
      <c r="C42" s="301">
        <f>'Z_6.2.sz.mell'!C42</f>
        <v>73315369</v>
      </c>
      <c r="D42" s="301">
        <f>'Z_6.2.sz.mell'!D42</f>
        <v>79562841</v>
      </c>
      <c r="E42" s="153">
        <f>'Z_6.2.sz.mell'!E42</f>
        <v>73768873</v>
      </c>
    </row>
    <row r="43" spans="1:5" s="220" customFormat="1" ht="15.2" customHeight="1" x14ac:dyDescent="0.2">
      <c r="A43" s="89"/>
      <c r="B43" s="90"/>
      <c r="C43" s="151"/>
    </row>
    <row r="44" spans="1:5" ht="13.5" thickBot="1" x14ac:dyDescent="0.25">
      <c r="A44" s="91"/>
      <c r="B44" s="92"/>
      <c r="C44" s="152"/>
    </row>
    <row r="45" spans="1:5" s="219" customFormat="1" ht="16.5" customHeight="1" thickBot="1" x14ac:dyDescent="0.25">
      <c r="A45" s="862" t="s">
        <v>40</v>
      </c>
      <c r="B45" s="863"/>
      <c r="C45" s="863"/>
      <c r="D45" s="863"/>
      <c r="E45" s="864"/>
    </row>
    <row r="46" spans="1:5" s="221" customFormat="1" ht="12" customHeight="1" thickBot="1" x14ac:dyDescent="0.25">
      <c r="A46" s="81" t="s">
        <v>6</v>
      </c>
      <c r="B46" s="59" t="s">
        <v>320</v>
      </c>
      <c r="C46" s="122">
        <f>'Z_6.2.sz.mell'!C46</f>
        <v>72045369</v>
      </c>
      <c r="D46" s="122">
        <f>'Z_6.2.sz.mell'!D46</f>
        <v>79412734</v>
      </c>
      <c r="E46" s="150">
        <f>'Z_6.2.sz.mell'!E46</f>
        <v>73363590</v>
      </c>
    </row>
    <row r="47" spans="1:5" ht="12" customHeight="1" x14ac:dyDescent="0.2">
      <c r="A47" s="213" t="s">
        <v>63</v>
      </c>
      <c r="B47" s="7" t="s">
        <v>35</v>
      </c>
      <c r="C47" s="277">
        <f>'Z_6.2.sz.mell'!C47</f>
        <v>48204216</v>
      </c>
      <c r="D47" s="277">
        <f>'Z_6.2.sz.mell'!D47</f>
        <v>55317509</v>
      </c>
      <c r="E47" s="275">
        <f>'Z_6.2.sz.mell'!E47</f>
        <v>54008811</v>
      </c>
    </row>
    <row r="48" spans="1:5" ht="12" customHeight="1" x14ac:dyDescent="0.2">
      <c r="A48" s="213" t="s">
        <v>64</v>
      </c>
      <c r="B48" s="6" t="s">
        <v>121</v>
      </c>
      <c r="C48" s="49">
        <f>'Z_6.2.sz.mell'!C48</f>
        <v>7661353</v>
      </c>
      <c r="D48" s="49">
        <f>'Z_6.2.sz.mell'!D48</f>
        <v>8692078</v>
      </c>
      <c r="E48" s="273">
        <f>'Z_6.2.sz.mell'!E48</f>
        <v>8666382</v>
      </c>
    </row>
    <row r="49" spans="1:5" ht="12" customHeight="1" x14ac:dyDescent="0.2">
      <c r="A49" s="213" t="s">
        <v>65</v>
      </c>
      <c r="B49" s="6" t="s">
        <v>89</v>
      </c>
      <c r="C49" s="49">
        <f>'Z_6.2.sz.mell'!C49</f>
        <v>16179800</v>
      </c>
      <c r="D49" s="49">
        <f>'Z_6.2.sz.mell'!D49</f>
        <v>15403147</v>
      </c>
      <c r="E49" s="273">
        <f>'Z_6.2.sz.mell'!E49</f>
        <v>10688397</v>
      </c>
    </row>
    <row r="50" spans="1:5" ht="12" customHeight="1" x14ac:dyDescent="0.2">
      <c r="A50" s="213" t="s">
        <v>66</v>
      </c>
      <c r="B50" s="6" t="s">
        <v>122</v>
      </c>
      <c r="C50" s="49">
        <f>'Z_6.2.sz.mell'!C50</f>
        <v>0</v>
      </c>
      <c r="D50" s="49">
        <f>'Z_6.2.sz.mell'!D50</f>
        <v>0</v>
      </c>
      <c r="E50" s="273">
        <f>'Z_6.2.sz.mell'!E50</f>
        <v>0</v>
      </c>
    </row>
    <row r="51" spans="1:5" ht="12" customHeight="1" thickBot="1" x14ac:dyDescent="0.25">
      <c r="A51" s="213" t="s">
        <v>96</v>
      </c>
      <c r="B51" s="6" t="s">
        <v>123</v>
      </c>
      <c r="C51" s="49">
        <f>'Z_6.2.sz.mell'!C51</f>
        <v>0</v>
      </c>
      <c r="D51" s="49">
        <f>'Z_6.2.sz.mell'!D51</f>
        <v>0</v>
      </c>
      <c r="E51" s="273">
        <f>'Z_6.2.sz.mell'!E51</f>
        <v>0</v>
      </c>
    </row>
    <row r="52" spans="1:5" ht="12" customHeight="1" thickBot="1" x14ac:dyDescent="0.25">
      <c r="A52" s="81" t="s">
        <v>7</v>
      </c>
      <c r="B52" s="59" t="s">
        <v>321</v>
      </c>
      <c r="C52" s="122">
        <f>'Z_6.2.sz.mell'!C52</f>
        <v>1270000</v>
      </c>
      <c r="D52" s="122">
        <f>'Z_6.2.sz.mell'!D52</f>
        <v>150107</v>
      </c>
      <c r="E52" s="150">
        <f>'Z_6.2.sz.mell'!E52</f>
        <v>150107</v>
      </c>
    </row>
    <row r="53" spans="1:5" s="221" customFormat="1" ht="12" customHeight="1" x14ac:dyDescent="0.2">
      <c r="A53" s="213" t="s">
        <v>69</v>
      </c>
      <c r="B53" s="7" t="s">
        <v>142</v>
      </c>
      <c r="C53" s="277">
        <f>'Z_6.2.sz.mell'!C53</f>
        <v>1270000</v>
      </c>
      <c r="D53" s="277">
        <f>'Z_6.2.sz.mell'!D53</f>
        <v>150107</v>
      </c>
      <c r="E53" s="275">
        <f>'Z_6.2.sz.mell'!E53</f>
        <v>150107</v>
      </c>
    </row>
    <row r="54" spans="1:5" ht="12" customHeight="1" x14ac:dyDescent="0.2">
      <c r="A54" s="213" t="s">
        <v>70</v>
      </c>
      <c r="B54" s="6" t="s">
        <v>125</v>
      </c>
      <c r="C54" s="49">
        <f>'Z_6.2.sz.mell'!C54</f>
        <v>0</v>
      </c>
      <c r="D54" s="49">
        <f>'Z_6.2.sz.mell'!D54</f>
        <v>0</v>
      </c>
      <c r="E54" s="273">
        <f>'Z_6.2.sz.mell'!E54</f>
        <v>0</v>
      </c>
    </row>
    <row r="55" spans="1:5" ht="12" customHeight="1" x14ac:dyDescent="0.2">
      <c r="A55" s="213" t="s">
        <v>71</v>
      </c>
      <c r="B55" s="6" t="s">
        <v>41</v>
      </c>
      <c r="C55" s="49">
        <f>'Z_6.2.sz.mell'!C55</f>
        <v>0</v>
      </c>
      <c r="D55" s="49">
        <f>'Z_6.2.sz.mell'!D55</f>
        <v>0</v>
      </c>
      <c r="E55" s="273">
        <f>'Z_6.2.sz.mell'!E55</f>
        <v>0</v>
      </c>
    </row>
    <row r="56" spans="1:5" ht="12" customHeight="1" thickBot="1" x14ac:dyDescent="0.25">
      <c r="A56" s="213" t="s">
        <v>72</v>
      </c>
      <c r="B56" s="6" t="s">
        <v>410</v>
      </c>
      <c r="C56" s="49">
        <f>'Z_6.2.sz.mell'!C56</f>
        <v>0</v>
      </c>
      <c r="D56" s="49">
        <f>'Z_6.2.sz.mell'!D56</f>
        <v>0</v>
      </c>
      <c r="E56" s="273">
        <f>'Z_6.2.sz.mell'!E56</f>
        <v>0</v>
      </c>
    </row>
    <row r="57" spans="1:5" ht="12" customHeight="1" thickBot="1" x14ac:dyDescent="0.25">
      <c r="A57" s="81" t="s">
        <v>8</v>
      </c>
      <c r="B57" s="59" t="s">
        <v>2</v>
      </c>
      <c r="C57" s="300">
        <f>'Z_6.2.sz.mell'!C57</f>
        <v>0</v>
      </c>
      <c r="D57" s="300">
        <f>'Z_6.2.sz.mell'!D57</f>
        <v>0</v>
      </c>
      <c r="E57" s="149">
        <f>'Z_6.2.sz.mell'!E57</f>
        <v>0</v>
      </c>
    </row>
    <row r="58" spans="1:5" ht="15.2" customHeight="1" thickBot="1" x14ac:dyDescent="0.25">
      <c r="A58" s="81" t="s">
        <v>9</v>
      </c>
      <c r="B58" s="93" t="s">
        <v>414</v>
      </c>
      <c r="C58" s="301">
        <f>'Z_6.2.sz.mell'!C58</f>
        <v>73315369</v>
      </c>
      <c r="D58" s="301">
        <f>'Z_6.2.sz.mell'!D58</f>
        <v>79562841</v>
      </c>
      <c r="E58" s="153">
        <f>'Z_6.2.sz.mell'!E58</f>
        <v>73513697</v>
      </c>
    </row>
    <row r="59" spans="1:5" ht="13.5" thickBot="1" x14ac:dyDescent="0.25">
      <c r="C59" s="627">
        <f>C42-C58</f>
        <v>0</v>
      </c>
      <c r="D59" s="627">
        <f>D42-D58</f>
        <v>0</v>
      </c>
      <c r="E59" s="154"/>
    </row>
    <row r="60" spans="1:5" ht="15.2" customHeight="1" thickBot="1" x14ac:dyDescent="0.25">
      <c r="A60" s="305" t="s">
        <v>484</v>
      </c>
      <c r="B60" s="306"/>
      <c r="C60" s="295">
        <f>'Z_6.2.sz.mell'!C60</f>
        <v>8</v>
      </c>
      <c r="D60" s="295">
        <f>'Z_6.2.sz.mell'!D60</f>
        <v>8</v>
      </c>
      <c r="E60" s="294">
        <f>'Z_6.2.sz.mell'!E60</f>
        <v>8</v>
      </c>
    </row>
    <row r="61" spans="1:5" ht="14.45" customHeight="1" thickBot="1" x14ac:dyDescent="0.25">
      <c r="A61" s="307" t="s">
        <v>485</v>
      </c>
      <c r="B61" s="308"/>
      <c r="C61" s="295">
        <f>'Z_6.2.sz.mell'!C61</f>
        <v>0</v>
      </c>
      <c r="D61" s="295">
        <f>'Z_6.2.sz.mell'!D61</f>
        <v>0</v>
      </c>
      <c r="E61" s="294">
        <f>'Z_6.2.sz.mell'!E61</f>
        <v>0</v>
      </c>
    </row>
    <row r="64" spans="1:5" x14ac:dyDescent="0.2">
      <c r="C64" s="95">
        <v>2020</v>
      </c>
      <c r="D64" s="95">
        <v>2021</v>
      </c>
    </row>
    <row r="65" spans="2:5" x14ac:dyDescent="0.2">
      <c r="B65" s="805">
        <f>1-D65/C65</f>
        <v>1.3264217978270931E-2</v>
      </c>
      <c r="C65" s="723">
        <v>1895452415</v>
      </c>
      <c r="D65" s="723">
        <v>1870310721</v>
      </c>
      <c r="E65" s="805">
        <f>C65/D65</f>
        <v>1.0134425225272501</v>
      </c>
    </row>
  </sheetData>
  <sheetProtection formatCells="0"/>
  <mergeCells count="5">
    <mergeCell ref="B2:D2"/>
    <mergeCell ref="B3:D3"/>
    <mergeCell ref="A7:E7"/>
    <mergeCell ref="A45:E45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F1E03-CC3D-448B-B28C-7ABF91DCC0FD}">
  <sheetPr>
    <tabColor theme="0" tint="-0.499984740745262"/>
  </sheetPr>
  <dimension ref="A1:E61"/>
  <sheetViews>
    <sheetView zoomScale="120" zoomScaleNormal="120" workbookViewId="0">
      <selection activeCell="J21" sqref="J21"/>
    </sheetView>
  </sheetViews>
  <sheetFormatPr defaultRowHeight="12.75" x14ac:dyDescent="0.2"/>
  <cols>
    <col min="1" max="1" width="13" style="94" customWidth="1"/>
    <col min="2" max="2" width="59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CONCATENATE("6.2.2. melléklet ",Z_ALAPADATOK!A7," ",Z_ALAPADATOK!B7," ",Z_ALAPADATOK!C7," ",Z_ALAPADATOK!D7," ",Z_ALAPADATOK!E7," ",Z_ALAPADATOK!F7," ",Z_ALAPADATOK!G7," ",Z_ALAPADATOK!H7)</f>
        <v>6.2.2. melléklet a … / 2022. ( … ) önkormányzati rendelethez</v>
      </c>
      <c r="C1" s="867"/>
      <c r="D1" s="867"/>
      <c r="E1" s="867"/>
    </row>
    <row r="2" spans="1:5" s="217" customFormat="1" ht="24.75" thickBot="1" x14ac:dyDescent="0.25">
      <c r="A2" s="328" t="s">
        <v>452</v>
      </c>
      <c r="B2" s="868" t="str">
        <f>CONCATENATE('Z_6.2.1.sz.mell'!B2:D2)</f>
        <v>Polgármesteri /közös/ hivatal</v>
      </c>
      <c r="C2" s="869"/>
      <c r="D2" s="870"/>
      <c r="E2" s="329" t="s">
        <v>42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CONCATENATE('Z_6.2.1.sz.mell'!E5)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50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119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119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119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119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119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119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276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119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121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121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122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119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119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119"/>
      <c r="E23" s="270"/>
    </row>
    <row r="24" spans="1:5" s="220" customFormat="1" ht="12" customHeight="1" thickBot="1" x14ac:dyDescent="0.25">
      <c r="A24" s="213" t="s">
        <v>72</v>
      </c>
      <c r="B24" s="6" t="s">
        <v>407</v>
      </c>
      <c r="C24" s="119"/>
      <c r="D24" s="119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0"/>
      <c r="E25" s="149"/>
    </row>
    <row r="26" spans="1:5" s="220" customFormat="1" ht="12" customHeight="1" thickBot="1" x14ac:dyDescent="0.25">
      <c r="A26" s="81" t="s">
        <v>9</v>
      </c>
      <c r="B26" s="59" t="s">
        <v>408</v>
      </c>
      <c r="C26" s="122">
        <f>+C27+C28+C29</f>
        <v>0</v>
      </c>
      <c r="D26" s="122">
        <f>+D27+D28+D29</f>
        <v>0</v>
      </c>
      <c r="E26" s="150">
        <f>+E27+E28+E29</f>
        <v>0</v>
      </c>
    </row>
    <row r="27" spans="1:5" s="220" customFormat="1" ht="12" customHeight="1" x14ac:dyDescent="0.2">
      <c r="A27" s="214" t="s">
        <v>176</v>
      </c>
      <c r="B27" s="215" t="s">
        <v>172</v>
      </c>
      <c r="C27" s="277"/>
      <c r="D27" s="277"/>
      <c r="E27" s="275"/>
    </row>
    <row r="28" spans="1:5" s="220" customFormat="1" ht="12" customHeight="1" x14ac:dyDescent="0.2">
      <c r="A28" s="214" t="s">
        <v>177</v>
      </c>
      <c r="B28" s="215" t="s">
        <v>307</v>
      </c>
      <c r="C28" s="119"/>
      <c r="D28" s="119"/>
      <c r="E28" s="270"/>
    </row>
    <row r="29" spans="1:5" s="220" customFormat="1" ht="12" customHeight="1" x14ac:dyDescent="0.2">
      <c r="A29" s="214" t="s">
        <v>178</v>
      </c>
      <c r="B29" s="216" t="s">
        <v>310</v>
      </c>
      <c r="C29" s="119"/>
      <c r="D29" s="119"/>
      <c r="E29" s="270"/>
    </row>
    <row r="30" spans="1:5" s="220" customFormat="1" ht="12" customHeight="1" thickBot="1" x14ac:dyDescent="0.25">
      <c r="A30" s="213" t="s">
        <v>179</v>
      </c>
      <c r="B30" s="64" t="s">
        <v>409</v>
      </c>
      <c r="C30" s="50"/>
      <c r="D30" s="50"/>
      <c r="E30" s="299"/>
    </row>
    <row r="31" spans="1:5" s="220" customFormat="1" ht="12" customHeight="1" thickBot="1" x14ac:dyDescent="0.25">
      <c r="A31" s="81" t="s">
        <v>10</v>
      </c>
      <c r="B31" s="59" t="s">
        <v>311</v>
      </c>
      <c r="C31" s="122">
        <f>+C32+C33+C34</f>
        <v>0</v>
      </c>
      <c r="D31" s="122">
        <f>+D32+D33+D34</f>
        <v>0</v>
      </c>
      <c r="E31" s="150">
        <f>+E32+E33+E34</f>
        <v>0</v>
      </c>
    </row>
    <row r="32" spans="1:5" s="220" customFormat="1" ht="12" customHeight="1" x14ac:dyDescent="0.2">
      <c r="A32" s="214" t="s">
        <v>56</v>
      </c>
      <c r="B32" s="215" t="s">
        <v>197</v>
      </c>
      <c r="C32" s="277"/>
      <c r="D32" s="277"/>
      <c r="E32" s="275"/>
    </row>
    <row r="33" spans="1:5" s="220" customFormat="1" ht="12" customHeight="1" x14ac:dyDescent="0.2">
      <c r="A33" s="214" t="s">
        <v>57</v>
      </c>
      <c r="B33" s="216" t="s">
        <v>198</v>
      </c>
      <c r="C33" s="123"/>
      <c r="D33" s="123"/>
      <c r="E33" s="272"/>
    </row>
    <row r="34" spans="1:5" s="220" customFormat="1" ht="12" customHeight="1" thickBot="1" x14ac:dyDescent="0.25">
      <c r="A34" s="213" t="s">
        <v>58</v>
      </c>
      <c r="B34" s="64" t="s">
        <v>199</v>
      </c>
      <c r="C34" s="50"/>
      <c r="D34" s="50"/>
      <c r="E34" s="299"/>
    </row>
    <row r="35" spans="1:5" s="155" customFormat="1" ht="12" customHeight="1" thickBot="1" x14ac:dyDescent="0.25">
      <c r="A35" s="81" t="s">
        <v>11</v>
      </c>
      <c r="B35" s="59" t="s">
        <v>282</v>
      </c>
      <c r="C35" s="300"/>
      <c r="D35" s="300"/>
      <c r="E35" s="149"/>
    </row>
    <row r="36" spans="1:5" s="155" customFormat="1" ht="12" customHeight="1" thickBot="1" x14ac:dyDescent="0.25">
      <c r="A36" s="81" t="s">
        <v>12</v>
      </c>
      <c r="B36" s="59" t="s">
        <v>312</v>
      </c>
      <c r="C36" s="300"/>
      <c r="D36" s="300"/>
      <c r="E36" s="149"/>
    </row>
    <row r="37" spans="1:5" s="155" customFormat="1" ht="12" customHeight="1" thickBot="1" x14ac:dyDescent="0.25">
      <c r="A37" s="77" t="s">
        <v>13</v>
      </c>
      <c r="B37" s="59" t="s">
        <v>313</v>
      </c>
      <c r="C37" s="122">
        <f>+C8+C20+C25+C26+C31+C35+C36</f>
        <v>0</v>
      </c>
      <c r="D37" s="122">
        <f>+D8+D20+D25+D26+D31+D35+D36</f>
        <v>0</v>
      </c>
      <c r="E37" s="150">
        <f>+E8+E20+E25+E26+E31+E35+E36</f>
        <v>0</v>
      </c>
    </row>
    <row r="38" spans="1:5" s="155" customFormat="1" ht="12" customHeight="1" thickBot="1" x14ac:dyDescent="0.25">
      <c r="A38" s="87" t="s">
        <v>14</v>
      </c>
      <c r="B38" s="59" t="s">
        <v>314</v>
      </c>
      <c r="C38" s="122">
        <f>+C39+C40+C41</f>
        <v>0</v>
      </c>
      <c r="D38" s="122">
        <f>+D39+D40+D41</f>
        <v>0</v>
      </c>
      <c r="E38" s="150">
        <f>+E39+E40+E41</f>
        <v>0</v>
      </c>
    </row>
    <row r="39" spans="1:5" s="155" customFormat="1" ht="12" customHeight="1" x14ac:dyDescent="0.2">
      <c r="A39" s="214" t="s">
        <v>315</v>
      </c>
      <c r="B39" s="215" t="s">
        <v>149</v>
      </c>
      <c r="C39" s="277"/>
      <c r="D39" s="277"/>
      <c r="E39" s="275"/>
    </row>
    <row r="40" spans="1:5" s="155" customFormat="1" ht="12" customHeight="1" x14ac:dyDescent="0.2">
      <c r="A40" s="214" t="s">
        <v>316</v>
      </c>
      <c r="B40" s="216" t="s">
        <v>0</v>
      </c>
      <c r="C40" s="123"/>
      <c r="D40" s="123"/>
      <c r="E40" s="272"/>
    </row>
    <row r="41" spans="1:5" s="220" customFormat="1" ht="12" customHeight="1" thickBot="1" x14ac:dyDescent="0.25">
      <c r="A41" s="213" t="s">
        <v>317</v>
      </c>
      <c r="B41" s="64" t="s">
        <v>318</v>
      </c>
      <c r="C41" s="50"/>
      <c r="D41" s="50"/>
      <c r="E41" s="299"/>
    </row>
    <row r="42" spans="1:5" s="220" customFormat="1" ht="15.2" customHeight="1" thickBot="1" x14ac:dyDescent="0.25">
      <c r="A42" s="87" t="s">
        <v>15</v>
      </c>
      <c r="B42" s="88" t="s">
        <v>319</v>
      </c>
      <c r="C42" s="301">
        <f>+C37+C38</f>
        <v>0</v>
      </c>
      <c r="D42" s="301">
        <f>+D37+D38</f>
        <v>0</v>
      </c>
      <c r="E42" s="153">
        <f>+E37+E38</f>
        <v>0</v>
      </c>
    </row>
    <row r="43" spans="1:5" s="220" customFormat="1" ht="15.2" customHeight="1" x14ac:dyDescent="0.2">
      <c r="A43" s="89"/>
      <c r="B43" s="90"/>
      <c r="C43" s="151"/>
    </row>
    <row r="44" spans="1:5" ht="13.5" thickBot="1" x14ac:dyDescent="0.25">
      <c r="A44" s="91"/>
      <c r="B44" s="92"/>
      <c r="C44" s="152"/>
    </row>
    <row r="45" spans="1:5" s="219" customFormat="1" ht="16.5" customHeight="1" thickBot="1" x14ac:dyDescent="0.25">
      <c r="A45" s="862" t="s">
        <v>40</v>
      </c>
      <c r="B45" s="863"/>
      <c r="C45" s="863"/>
      <c r="D45" s="863"/>
      <c r="E45" s="864"/>
    </row>
    <row r="46" spans="1:5" s="221" customFormat="1" ht="12" customHeight="1" thickBot="1" x14ac:dyDescent="0.25">
      <c r="A46" s="81" t="s">
        <v>6</v>
      </c>
      <c r="B46" s="59" t="s">
        <v>320</v>
      </c>
      <c r="C46" s="122">
        <f>SUM(C47:C51)</f>
        <v>0</v>
      </c>
      <c r="D46" s="122">
        <f>SUM(D47:D51)</f>
        <v>0</v>
      </c>
      <c r="E46" s="150">
        <f>SUM(E47:E51)</f>
        <v>0</v>
      </c>
    </row>
    <row r="47" spans="1:5" ht="12" customHeight="1" x14ac:dyDescent="0.2">
      <c r="A47" s="213" t="s">
        <v>63</v>
      </c>
      <c r="B47" s="7" t="s">
        <v>35</v>
      </c>
      <c r="C47" s="277"/>
      <c r="D47" s="277"/>
      <c r="E47" s="275"/>
    </row>
    <row r="48" spans="1:5" ht="12" customHeight="1" x14ac:dyDescent="0.2">
      <c r="A48" s="213" t="s">
        <v>64</v>
      </c>
      <c r="B48" s="6" t="s">
        <v>121</v>
      </c>
      <c r="C48" s="49"/>
      <c r="D48" s="49"/>
      <c r="E48" s="273"/>
    </row>
    <row r="49" spans="1:5" ht="12" customHeight="1" x14ac:dyDescent="0.2">
      <c r="A49" s="213" t="s">
        <v>65</v>
      </c>
      <c r="B49" s="6" t="s">
        <v>89</v>
      </c>
      <c r="C49" s="49"/>
      <c r="D49" s="49"/>
      <c r="E49" s="273"/>
    </row>
    <row r="50" spans="1:5" ht="12" customHeight="1" x14ac:dyDescent="0.2">
      <c r="A50" s="213" t="s">
        <v>66</v>
      </c>
      <c r="B50" s="6" t="s">
        <v>122</v>
      </c>
      <c r="C50" s="49"/>
      <c r="D50" s="49"/>
      <c r="E50" s="273"/>
    </row>
    <row r="51" spans="1:5" ht="12" customHeight="1" thickBot="1" x14ac:dyDescent="0.25">
      <c r="A51" s="213" t="s">
        <v>96</v>
      </c>
      <c r="B51" s="6" t="s">
        <v>123</v>
      </c>
      <c r="C51" s="49"/>
      <c r="D51" s="49"/>
      <c r="E51" s="273"/>
    </row>
    <row r="52" spans="1:5" ht="12" customHeight="1" thickBot="1" x14ac:dyDescent="0.25">
      <c r="A52" s="81" t="s">
        <v>7</v>
      </c>
      <c r="B52" s="59" t="s">
        <v>321</v>
      </c>
      <c r="C52" s="122">
        <f>SUM(C53:C55)</f>
        <v>0</v>
      </c>
      <c r="D52" s="122">
        <f>SUM(D53:D55)</f>
        <v>0</v>
      </c>
      <c r="E52" s="150">
        <f>SUM(E53:E55)</f>
        <v>0</v>
      </c>
    </row>
    <row r="53" spans="1:5" s="221" customFormat="1" ht="12" customHeight="1" x14ac:dyDescent="0.2">
      <c r="A53" s="213" t="s">
        <v>69</v>
      </c>
      <c r="B53" s="7" t="s">
        <v>142</v>
      </c>
      <c r="C53" s="277"/>
      <c r="D53" s="277"/>
      <c r="E53" s="275"/>
    </row>
    <row r="54" spans="1:5" ht="12" customHeight="1" x14ac:dyDescent="0.2">
      <c r="A54" s="213" t="s">
        <v>70</v>
      </c>
      <c r="B54" s="6" t="s">
        <v>125</v>
      </c>
      <c r="C54" s="49"/>
      <c r="D54" s="49"/>
      <c r="E54" s="273"/>
    </row>
    <row r="55" spans="1:5" ht="12" customHeight="1" x14ac:dyDescent="0.2">
      <c r="A55" s="213" t="s">
        <v>71</v>
      </c>
      <c r="B55" s="6" t="s">
        <v>41</v>
      </c>
      <c r="C55" s="49"/>
      <c r="D55" s="49"/>
      <c r="E55" s="273"/>
    </row>
    <row r="56" spans="1:5" ht="12" customHeight="1" thickBot="1" x14ac:dyDescent="0.25">
      <c r="A56" s="213" t="s">
        <v>72</v>
      </c>
      <c r="B56" s="6" t="s">
        <v>410</v>
      </c>
      <c r="C56" s="49"/>
      <c r="D56" s="49"/>
      <c r="E56" s="273"/>
    </row>
    <row r="57" spans="1:5" ht="12" customHeight="1" thickBot="1" x14ac:dyDescent="0.25">
      <c r="A57" s="81" t="s">
        <v>8</v>
      </c>
      <c r="B57" s="59" t="s">
        <v>2</v>
      </c>
      <c r="C57" s="300"/>
      <c r="D57" s="300"/>
      <c r="E57" s="149"/>
    </row>
    <row r="58" spans="1:5" ht="15.2" customHeight="1" thickBot="1" x14ac:dyDescent="0.25">
      <c r="A58" s="81" t="s">
        <v>9</v>
      </c>
      <c r="B58" s="93" t="s">
        <v>414</v>
      </c>
      <c r="C58" s="301">
        <f>+C46+C52+C57</f>
        <v>0</v>
      </c>
      <c r="D58" s="301">
        <f>+D46+D52+D57</f>
        <v>0</v>
      </c>
      <c r="E58" s="153">
        <f>+E46+E52+E57</f>
        <v>0</v>
      </c>
    </row>
    <row r="59" spans="1:5" ht="13.5" thickBot="1" x14ac:dyDescent="0.25">
      <c r="C59" s="627">
        <f>C42-C58</f>
        <v>0</v>
      </c>
      <c r="D59" s="627">
        <f>D42-D58</f>
        <v>0</v>
      </c>
      <c r="E59" s="154"/>
    </row>
    <row r="60" spans="1:5" ht="15.2" customHeight="1" thickBot="1" x14ac:dyDescent="0.25">
      <c r="A60" s="305" t="s">
        <v>484</v>
      </c>
      <c r="B60" s="306"/>
      <c r="C60" s="295"/>
      <c r="D60" s="295"/>
      <c r="E60" s="294"/>
    </row>
    <row r="61" spans="1:5" ht="14.45" customHeight="1" thickBot="1" x14ac:dyDescent="0.25">
      <c r="A61" s="307" t="s">
        <v>485</v>
      </c>
      <c r="B61" s="308"/>
      <c r="C61" s="295"/>
      <c r="D61" s="295"/>
      <c r="E61" s="294"/>
    </row>
  </sheetData>
  <sheetProtection sheet="1" formatCells="0"/>
  <mergeCells count="5">
    <mergeCell ref="B2:D2"/>
    <mergeCell ref="B3:D3"/>
    <mergeCell ref="A7:E7"/>
    <mergeCell ref="A45:E45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2423-D528-46CA-8C24-06D26C3BB3BC}">
  <sheetPr>
    <tabColor theme="0" tint="-0.499984740745262"/>
  </sheetPr>
  <dimension ref="A1:E61"/>
  <sheetViews>
    <sheetView zoomScale="120" zoomScaleNormal="120" workbookViewId="0">
      <selection activeCell="J21" sqref="J21"/>
    </sheetView>
  </sheetViews>
  <sheetFormatPr defaultRowHeight="12.75" x14ac:dyDescent="0.2"/>
  <cols>
    <col min="1" max="1" width="13" style="94" customWidth="1"/>
    <col min="2" max="2" width="59" style="95" customWidth="1"/>
    <col min="3" max="5" width="15.83203125" style="95" customWidth="1"/>
    <col min="6" max="16384" width="9.33203125" style="95"/>
  </cols>
  <sheetData>
    <row r="1" spans="1:5" s="85" customFormat="1" ht="21.2" customHeight="1" thickBot="1" x14ac:dyDescent="0.3">
      <c r="A1" s="327"/>
      <c r="B1" s="871" t="str">
        <f>CONCATENATE("6.2.3. melléklet ",Z_ALAPADATOK!A7," ",Z_ALAPADATOK!B7," ",Z_ALAPADATOK!C7," ",Z_ALAPADATOK!D7," ",Z_ALAPADATOK!E7," ",Z_ALAPADATOK!F7," ",Z_ALAPADATOK!G7," ",Z_ALAPADATOK!H7)</f>
        <v>6.2.3. melléklet a … / 2022. ( … ) önkormányzati rendelethez</v>
      </c>
      <c r="C1" s="872"/>
      <c r="D1" s="872"/>
      <c r="E1" s="872"/>
    </row>
    <row r="2" spans="1:5" s="217" customFormat="1" ht="24.75" thickBot="1" x14ac:dyDescent="0.25">
      <c r="A2" s="328" t="s">
        <v>452</v>
      </c>
      <c r="B2" s="868" t="str">
        <f>CONCATENATE('Z_6.2.2.sz.mell'!B2:D2)</f>
        <v>Polgármesteri /közös/ hivatal</v>
      </c>
      <c r="C2" s="869"/>
      <c r="D2" s="870"/>
      <c r="E2" s="329" t="s">
        <v>42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CONCATENATE('Z_6.2.2.sz.mell'!E5)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50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119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119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119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119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119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119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276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119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121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121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122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119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119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119"/>
      <c r="E23" s="270"/>
    </row>
    <row r="24" spans="1:5" s="220" customFormat="1" ht="12" customHeight="1" thickBot="1" x14ac:dyDescent="0.25">
      <c r="A24" s="213" t="s">
        <v>72</v>
      </c>
      <c r="B24" s="6" t="s">
        <v>407</v>
      </c>
      <c r="C24" s="119"/>
      <c r="D24" s="119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0"/>
      <c r="E25" s="149"/>
    </row>
    <row r="26" spans="1:5" s="220" customFormat="1" ht="12" customHeight="1" thickBot="1" x14ac:dyDescent="0.25">
      <c r="A26" s="81" t="s">
        <v>9</v>
      </c>
      <c r="B26" s="59" t="s">
        <v>408</v>
      </c>
      <c r="C26" s="122">
        <f>+C27+C28+C29</f>
        <v>0</v>
      </c>
      <c r="D26" s="122">
        <f>+D27+D28+D29</f>
        <v>0</v>
      </c>
      <c r="E26" s="150">
        <f>+E27+E28+E29</f>
        <v>0</v>
      </c>
    </row>
    <row r="27" spans="1:5" s="220" customFormat="1" ht="12" customHeight="1" x14ac:dyDescent="0.2">
      <c r="A27" s="214" t="s">
        <v>176</v>
      </c>
      <c r="B27" s="215" t="s">
        <v>172</v>
      </c>
      <c r="C27" s="277"/>
      <c r="D27" s="277"/>
      <c r="E27" s="275"/>
    </row>
    <row r="28" spans="1:5" s="220" customFormat="1" ht="12" customHeight="1" x14ac:dyDescent="0.2">
      <c r="A28" s="214" t="s">
        <v>177</v>
      </c>
      <c r="B28" s="215" t="s">
        <v>307</v>
      </c>
      <c r="C28" s="119"/>
      <c r="D28" s="119"/>
      <c r="E28" s="270"/>
    </row>
    <row r="29" spans="1:5" s="220" customFormat="1" ht="12" customHeight="1" x14ac:dyDescent="0.2">
      <c r="A29" s="214" t="s">
        <v>178</v>
      </c>
      <c r="B29" s="216" t="s">
        <v>310</v>
      </c>
      <c r="C29" s="119"/>
      <c r="D29" s="119"/>
      <c r="E29" s="270"/>
    </row>
    <row r="30" spans="1:5" s="220" customFormat="1" ht="12" customHeight="1" thickBot="1" x14ac:dyDescent="0.25">
      <c r="A30" s="213" t="s">
        <v>179</v>
      </c>
      <c r="B30" s="64" t="s">
        <v>409</v>
      </c>
      <c r="C30" s="50"/>
      <c r="D30" s="50"/>
      <c r="E30" s="299"/>
    </row>
    <row r="31" spans="1:5" s="220" customFormat="1" ht="12" customHeight="1" thickBot="1" x14ac:dyDescent="0.25">
      <c r="A31" s="81" t="s">
        <v>10</v>
      </c>
      <c r="B31" s="59" t="s">
        <v>311</v>
      </c>
      <c r="C31" s="122">
        <f>+C32+C33+C34</f>
        <v>0</v>
      </c>
      <c r="D31" s="122">
        <f>+D32+D33+D34</f>
        <v>0</v>
      </c>
      <c r="E31" s="150">
        <f>+E32+E33+E34</f>
        <v>0</v>
      </c>
    </row>
    <row r="32" spans="1:5" s="220" customFormat="1" ht="12" customHeight="1" x14ac:dyDescent="0.2">
      <c r="A32" s="214" t="s">
        <v>56</v>
      </c>
      <c r="B32" s="215" t="s">
        <v>197</v>
      </c>
      <c r="C32" s="277"/>
      <c r="D32" s="277"/>
      <c r="E32" s="275"/>
    </row>
    <row r="33" spans="1:5" s="220" customFormat="1" ht="12" customHeight="1" x14ac:dyDescent="0.2">
      <c r="A33" s="214" t="s">
        <v>57</v>
      </c>
      <c r="B33" s="216" t="s">
        <v>198</v>
      </c>
      <c r="C33" s="123"/>
      <c r="D33" s="123"/>
      <c r="E33" s="272"/>
    </row>
    <row r="34" spans="1:5" s="220" customFormat="1" ht="12" customHeight="1" thickBot="1" x14ac:dyDescent="0.25">
      <c r="A34" s="213" t="s">
        <v>58</v>
      </c>
      <c r="B34" s="64" t="s">
        <v>199</v>
      </c>
      <c r="C34" s="50"/>
      <c r="D34" s="50"/>
      <c r="E34" s="299"/>
    </row>
    <row r="35" spans="1:5" s="155" customFormat="1" ht="12" customHeight="1" thickBot="1" x14ac:dyDescent="0.25">
      <c r="A35" s="81" t="s">
        <v>11</v>
      </c>
      <c r="B35" s="59" t="s">
        <v>282</v>
      </c>
      <c r="C35" s="300"/>
      <c r="D35" s="300"/>
      <c r="E35" s="149"/>
    </row>
    <row r="36" spans="1:5" s="155" customFormat="1" ht="12" customHeight="1" thickBot="1" x14ac:dyDescent="0.25">
      <c r="A36" s="81" t="s">
        <v>12</v>
      </c>
      <c r="B36" s="59" t="s">
        <v>312</v>
      </c>
      <c r="C36" s="300"/>
      <c r="D36" s="300"/>
      <c r="E36" s="149"/>
    </row>
    <row r="37" spans="1:5" s="155" customFormat="1" ht="12" customHeight="1" thickBot="1" x14ac:dyDescent="0.25">
      <c r="A37" s="77" t="s">
        <v>13</v>
      </c>
      <c r="B37" s="59" t="s">
        <v>313</v>
      </c>
      <c r="C37" s="122">
        <f>+C8+C20+C25+C26+C31+C35+C36</f>
        <v>0</v>
      </c>
      <c r="D37" s="122">
        <f>+D8+D20+D25+D26+D31+D35+D36</f>
        <v>0</v>
      </c>
      <c r="E37" s="150">
        <f>+E8+E20+E25+E26+E31+E35+E36</f>
        <v>0</v>
      </c>
    </row>
    <row r="38" spans="1:5" s="155" customFormat="1" ht="12" customHeight="1" thickBot="1" x14ac:dyDescent="0.25">
      <c r="A38" s="87" t="s">
        <v>14</v>
      </c>
      <c r="B38" s="59" t="s">
        <v>314</v>
      </c>
      <c r="C38" s="122">
        <f>+C39+C40+C41</f>
        <v>0</v>
      </c>
      <c r="D38" s="122">
        <f>+D39+D40+D41</f>
        <v>0</v>
      </c>
      <c r="E38" s="150">
        <f>+E39+E40+E41</f>
        <v>0</v>
      </c>
    </row>
    <row r="39" spans="1:5" s="155" customFormat="1" ht="12" customHeight="1" x14ac:dyDescent="0.2">
      <c r="A39" s="214" t="s">
        <v>315</v>
      </c>
      <c r="B39" s="215" t="s">
        <v>149</v>
      </c>
      <c r="C39" s="277"/>
      <c r="D39" s="277"/>
      <c r="E39" s="275"/>
    </row>
    <row r="40" spans="1:5" s="155" customFormat="1" ht="12" customHeight="1" x14ac:dyDescent="0.2">
      <c r="A40" s="214" t="s">
        <v>316</v>
      </c>
      <c r="B40" s="216" t="s">
        <v>0</v>
      </c>
      <c r="C40" s="123"/>
      <c r="D40" s="123"/>
      <c r="E40" s="272"/>
    </row>
    <row r="41" spans="1:5" s="220" customFormat="1" ht="12" customHeight="1" thickBot="1" x14ac:dyDescent="0.25">
      <c r="A41" s="213" t="s">
        <v>317</v>
      </c>
      <c r="B41" s="64" t="s">
        <v>318</v>
      </c>
      <c r="C41" s="50"/>
      <c r="D41" s="50"/>
      <c r="E41" s="299"/>
    </row>
    <row r="42" spans="1:5" s="220" customFormat="1" ht="15.2" customHeight="1" thickBot="1" x14ac:dyDescent="0.25">
      <c r="A42" s="87" t="s">
        <v>15</v>
      </c>
      <c r="B42" s="88" t="s">
        <v>319</v>
      </c>
      <c r="C42" s="301">
        <f>+C37+C38</f>
        <v>0</v>
      </c>
      <c r="D42" s="301">
        <f>+D37+D38</f>
        <v>0</v>
      </c>
      <c r="E42" s="153">
        <f>+E37+E38</f>
        <v>0</v>
      </c>
    </row>
    <row r="43" spans="1:5" s="220" customFormat="1" ht="15.2" customHeight="1" x14ac:dyDescent="0.2">
      <c r="A43" s="89"/>
      <c r="B43" s="90"/>
      <c r="C43" s="151"/>
    </row>
    <row r="44" spans="1:5" ht="13.5" thickBot="1" x14ac:dyDescent="0.25">
      <c r="A44" s="91"/>
      <c r="B44" s="92"/>
      <c r="C44" s="152"/>
    </row>
    <row r="45" spans="1:5" s="219" customFormat="1" ht="16.5" customHeight="1" thickBot="1" x14ac:dyDescent="0.25">
      <c r="A45" s="862" t="s">
        <v>40</v>
      </c>
      <c r="B45" s="863"/>
      <c r="C45" s="863"/>
      <c r="D45" s="863"/>
      <c r="E45" s="864"/>
    </row>
    <row r="46" spans="1:5" s="221" customFormat="1" ht="12" customHeight="1" thickBot="1" x14ac:dyDescent="0.25">
      <c r="A46" s="81" t="s">
        <v>6</v>
      </c>
      <c r="B46" s="59" t="s">
        <v>320</v>
      </c>
      <c r="C46" s="122">
        <f>SUM(C47:C51)</f>
        <v>0</v>
      </c>
      <c r="D46" s="122">
        <f>SUM(D47:D51)</f>
        <v>0</v>
      </c>
      <c r="E46" s="150">
        <f>SUM(E47:E51)</f>
        <v>0</v>
      </c>
    </row>
    <row r="47" spans="1:5" ht="12" customHeight="1" x14ac:dyDescent="0.2">
      <c r="A47" s="213" t="s">
        <v>63</v>
      </c>
      <c r="B47" s="7" t="s">
        <v>35</v>
      </c>
      <c r="C47" s="277"/>
      <c r="D47" s="277"/>
      <c r="E47" s="275"/>
    </row>
    <row r="48" spans="1:5" ht="12" customHeight="1" x14ac:dyDescent="0.2">
      <c r="A48" s="213" t="s">
        <v>64</v>
      </c>
      <c r="B48" s="6" t="s">
        <v>121</v>
      </c>
      <c r="C48" s="49"/>
      <c r="D48" s="49"/>
      <c r="E48" s="273"/>
    </row>
    <row r="49" spans="1:5" ht="12" customHeight="1" x14ac:dyDescent="0.2">
      <c r="A49" s="213" t="s">
        <v>65</v>
      </c>
      <c r="B49" s="6" t="s">
        <v>89</v>
      </c>
      <c r="C49" s="49"/>
      <c r="D49" s="49"/>
      <c r="E49" s="273"/>
    </row>
    <row r="50" spans="1:5" ht="12" customHeight="1" x14ac:dyDescent="0.2">
      <c r="A50" s="213" t="s">
        <v>66</v>
      </c>
      <c r="B50" s="6" t="s">
        <v>122</v>
      </c>
      <c r="C50" s="49"/>
      <c r="D50" s="49"/>
      <c r="E50" s="273"/>
    </row>
    <row r="51" spans="1:5" ht="12" customHeight="1" thickBot="1" x14ac:dyDescent="0.25">
      <c r="A51" s="213" t="s">
        <v>96</v>
      </c>
      <c r="B51" s="6" t="s">
        <v>123</v>
      </c>
      <c r="C51" s="49"/>
      <c r="D51" s="49"/>
      <c r="E51" s="273"/>
    </row>
    <row r="52" spans="1:5" ht="12" customHeight="1" thickBot="1" x14ac:dyDescent="0.25">
      <c r="A52" s="81" t="s">
        <v>7</v>
      </c>
      <c r="B52" s="59" t="s">
        <v>321</v>
      </c>
      <c r="C52" s="122">
        <f>SUM(C53:C55)</f>
        <v>0</v>
      </c>
      <c r="D52" s="122">
        <f>SUM(D53:D55)</f>
        <v>0</v>
      </c>
      <c r="E52" s="150">
        <f>SUM(E53:E55)</f>
        <v>0</v>
      </c>
    </row>
    <row r="53" spans="1:5" s="221" customFormat="1" ht="12" customHeight="1" x14ac:dyDescent="0.2">
      <c r="A53" s="213" t="s">
        <v>69</v>
      </c>
      <c r="B53" s="7" t="s">
        <v>142</v>
      </c>
      <c r="C53" s="277"/>
      <c r="D53" s="277"/>
      <c r="E53" s="275"/>
    </row>
    <row r="54" spans="1:5" ht="12" customHeight="1" x14ac:dyDescent="0.2">
      <c r="A54" s="213" t="s">
        <v>70</v>
      </c>
      <c r="B54" s="6" t="s">
        <v>125</v>
      </c>
      <c r="C54" s="49"/>
      <c r="D54" s="49"/>
      <c r="E54" s="273"/>
    </row>
    <row r="55" spans="1:5" ht="12" customHeight="1" x14ac:dyDescent="0.2">
      <c r="A55" s="213" t="s">
        <v>71</v>
      </c>
      <c r="B55" s="6" t="s">
        <v>41</v>
      </c>
      <c r="C55" s="49"/>
      <c r="D55" s="49"/>
      <c r="E55" s="273"/>
    </row>
    <row r="56" spans="1:5" ht="12" customHeight="1" thickBot="1" x14ac:dyDescent="0.25">
      <c r="A56" s="213" t="s">
        <v>72</v>
      </c>
      <c r="B56" s="6" t="s">
        <v>410</v>
      </c>
      <c r="C56" s="49"/>
      <c r="D56" s="49"/>
      <c r="E56" s="273"/>
    </row>
    <row r="57" spans="1:5" ht="12" customHeight="1" thickBot="1" x14ac:dyDescent="0.25">
      <c r="A57" s="81" t="s">
        <v>8</v>
      </c>
      <c r="B57" s="59" t="s">
        <v>2</v>
      </c>
      <c r="C57" s="300"/>
      <c r="D57" s="300"/>
      <c r="E57" s="149"/>
    </row>
    <row r="58" spans="1:5" ht="15.2" customHeight="1" thickBot="1" x14ac:dyDescent="0.25">
      <c r="A58" s="81" t="s">
        <v>9</v>
      </c>
      <c r="B58" s="93" t="s">
        <v>414</v>
      </c>
      <c r="C58" s="301">
        <f>+C46+C52+C57</f>
        <v>0</v>
      </c>
      <c r="D58" s="301">
        <f>+D46+D52+D57</f>
        <v>0</v>
      </c>
      <c r="E58" s="153">
        <f>+E46+E52+E57</f>
        <v>0</v>
      </c>
    </row>
    <row r="59" spans="1:5" ht="13.5" thickBot="1" x14ac:dyDescent="0.25">
      <c r="C59" s="627">
        <f>C42-C58</f>
        <v>0</v>
      </c>
      <c r="D59" s="627">
        <f>D42-D58</f>
        <v>0</v>
      </c>
      <c r="E59" s="154"/>
    </row>
    <row r="60" spans="1:5" ht="15.2" customHeight="1" thickBot="1" x14ac:dyDescent="0.25">
      <c r="A60" s="305" t="s">
        <v>484</v>
      </c>
      <c r="B60" s="306"/>
      <c r="C60" s="295"/>
      <c r="D60" s="295"/>
      <c r="E60" s="294"/>
    </row>
    <row r="61" spans="1:5" ht="14.45" customHeight="1" thickBot="1" x14ac:dyDescent="0.25">
      <c r="A61" s="307" t="s">
        <v>485</v>
      </c>
      <c r="B61" s="308"/>
      <c r="C61" s="295"/>
      <c r="D61" s="295"/>
      <c r="E61" s="294"/>
    </row>
  </sheetData>
  <sheetProtection sheet="1" formatCells="0"/>
  <mergeCells count="5">
    <mergeCell ref="B2:D2"/>
    <mergeCell ref="B3:D3"/>
    <mergeCell ref="A7:E7"/>
    <mergeCell ref="A45:E45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F92BB-D9CC-4EF1-82A2-75A7AC65793E}">
  <sheetPr>
    <tabColor theme="5"/>
  </sheetPr>
  <dimension ref="A1:E60"/>
  <sheetViews>
    <sheetView zoomScale="120" zoomScaleNormal="120" workbookViewId="0">
      <selection activeCell="B2" sqref="B2:D2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CONCATENATE(Z_ALAPADATOK!M13," melléklet ",Z_ALAPADATOK!A7," ",Z_ALAPADATOK!B7," ",Z_ALAPADATOK!C7," ",Z_ALAPADATOK!D7," ",Z_ALAPADATOK!E7," ",Z_ALAPADATOK!F7," ",Z_ALAPADATOK!G7," ",Z_ALAPADATOK!H7)</f>
        <v>6.3. melléklet a … / 2022. ( … ) önkormányzati rendelethez</v>
      </c>
      <c r="C1" s="867"/>
      <c r="D1" s="867"/>
      <c r="E1" s="867"/>
    </row>
    <row r="2" spans="1:5" s="217" customFormat="1" ht="39.75" customHeight="1" thickBot="1" x14ac:dyDescent="0.25">
      <c r="A2" s="328" t="s">
        <v>452</v>
      </c>
      <c r="B2" s="873" t="str">
        <f>CONCATENATE(Z_ALAPADATOK!B13)</f>
        <v>Sajószögedi Általános Művelődési Központ - Család és Gyermekjóléti Szolgálat - Konyha - Művelődési Ház és Könyvtár</v>
      </c>
      <c r="C2" s="874"/>
      <c r="D2" s="875"/>
      <c r="E2" s="329" t="s">
        <v>43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CONCATENATE('Z_6.2.3.sz.mell'!E5)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15478442</v>
      </c>
      <c r="D8" s="122">
        <f>SUM(D9:D19)</f>
        <v>16233442</v>
      </c>
      <c r="E8" s="124">
        <f>SUM(E9:E19)</f>
        <v>15447468</v>
      </c>
    </row>
    <row r="9" spans="1:5" s="155" customFormat="1" ht="12" customHeight="1" x14ac:dyDescent="0.2">
      <c r="A9" s="212" t="s">
        <v>63</v>
      </c>
      <c r="B9" s="8" t="s">
        <v>183</v>
      </c>
      <c r="C9" s="71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719">
        <v>10903145</v>
      </c>
      <c r="D10" s="265">
        <v>10903145</v>
      </c>
      <c r="E10" s="270">
        <v>10676705</v>
      </c>
    </row>
    <row r="11" spans="1:5" s="155" customFormat="1" ht="12" customHeight="1" x14ac:dyDescent="0.2">
      <c r="A11" s="213" t="s">
        <v>65</v>
      </c>
      <c r="B11" s="6" t="s">
        <v>185</v>
      </c>
      <c r="C11" s="7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7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719">
        <v>1412164</v>
      </c>
      <c r="D13" s="265">
        <v>1912164</v>
      </c>
      <c r="E13" s="270">
        <v>1481027</v>
      </c>
    </row>
    <row r="14" spans="1:5" s="155" customFormat="1" ht="12" customHeight="1" x14ac:dyDescent="0.2">
      <c r="A14" s="213" t="s">
        <v>67</v>
      </c>
      <c r="B14" s="6" t="s">
        <v>304</v>
      </c>
      <c r="C14" s="719">
        <v>3163133</v>
      </c>
      <c r="D14" s="265">
        <v>3298133</v>
      </c>
      <c r="E14" s="270">
        <v>3273497</v>
      </c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>
        <v>1</v>
      </c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>
        <v>120000</v>
      </c>
      <c r="E19" s="271">
        <v>16238</v>
      </c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22.5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>
        <v>220000</v>
      </c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15478442</v>
      </c>
      <c r="D36" s="267">
        <f>+D8+D20+D25+D26+D30+D34+D35</f>
        <v>16233442</v>
      </c>
      <c r="E36" s="150">
        <f>+E8+E20+E25+E26+E30+E34+E35</f>
        <v>15667468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134061036</v>
      </c>
      <c r="D37" s="267">
        <f>+D38+D39+D40</f>
        <v>141155367</v>
      </c>
      <c r="E37" s="150">
        <f>+E38+E39+E40</f>
        <v>129569316</v>
      </c>
    </row>
    <row r="38" spans="1:5" s="155" customFormat="1" ht="12" customHeight="1" x14ac:dyDescent="0.2">
      <c r="A38" s="214" t="s">
        <v>315</v>
      </c>
      <c r="B38" s="215" t="s">
        <v>149</v>
      </c>
      <c r="C38" s="277">
        <v>2143506</v>
      </c>
      <c r="D38" s="61">
        <v>2143506</v>
      </c>
      <c r="E38" s="275">
        <v>2143506</v>
      </c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v>131917530</v>
      </c>
      <c r="D40" s="304">
        <v>139011861</v>
      </c>
      <c r="E40" s="299">
        <v>127425810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149539478</v>
      </c>
      <c r="D41" s="297">
        <f>+D36+D37</f>
        <v>157388809</v>
      </c>
      <c r="E41" s="153">
        <f>+E36+E37</f>
        <v>145236784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146262878</v>
      </c>
      <c r="D45" s="267">
        <f>SUM(D46:D50)</f>
        <v>154112209</v>
      </c>
      <c r="E45" s="150">
        <f>SUM(E46:E50)</f>
        <v>139261378</v>
      </c>
    </row>
    <row r="46" spans="1:5" ht="12" customHeight="1" x14ac:dyDescent="0.2">
      <c r="A46" s="213" t="s">
        <v>63</v>
      </c>
      <c r="B46" s="7" t="s">
        <v>35</v>
      </c>
      <c r="C46" s="277">
        <v>74959350</v>
      </c>
      <c r="D46" s="61">
        <v>79844442</v>
      </c>
      <c r="E46" s="275">
        <v>74723207</v>
      </c>
    </row>
    <row r="47" spans="1:5" ht="12" customHeight="1" x14ac:dyDescent="0.2">
      <c r="A47" s="213" t="s">
        <v>64</v>
      </c>
      <c r="B47" s="6" t="s">
        <v>121</v>
      </c>
      <c r="C47" s="49">
        <v>12900878</v>
      </c>
      <c r="D47" s="62">
        <v>13400878</v>
      </c>
      <c r="E47" s="273">
        <v>11279199</v>
      </c>
    </row>
    <row r="48" spans="1:5" ht="12" customHeight="1" x14ac:dyDescent="0.2">
      <c r="A48" s="213" t="s">
        <v>65</v>
      </c>
      <c r="B48" s="6" t="s">
        <v>89</v>
      </c>
      <c r="C48" s="49">
        <v>58402650</v>
      </c>
      <c r="D48" s="62">
        <v>60866889</v>
      </c>
      <c r="E48" s="273">
        <v>53258972</v>
      </c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3276600</v>
      </c>
      <c r="D51" s="267">
        <f>SUM(D52:D54)</f>
        <v>3276600</v>
      </c>
      <c r="E51" s="150">
        <f>SUM(E52:E54)</f>
        <v>2312524</v>
      </c>
    </row>
    <row r="52" spans="1:5" s="221" customFormat="1" ht="12" customHeight="1" x14ac:dyDescent="0.2">
      <c r="A52" s="213" t="s">
        <v>69</v>
      </c>
      <c r="B52" s="7" t="s">
        <v>142</v>
      </c>
      <c r="C52" s="277">
        <v>3276600</v>
      </c>
      <c r="D52" s="61">
        <v>3276600</v>
      </c>
      <c r="E52" s="275">
        <v>2312524</v>
      </c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149539478</v>
      </c>
      <c r="D57" s="297">
        <f>+D45+D51+D56</f>
        <v>157388809</v>
      </c>
      <c r="E57" s="153">
        <f>+E45+E51+E56</f>
        <v>141573902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>
        <v>19</v>
      </c>
      <c r="D59" s="295">
        <v>19</v>
      </c>
      <c r="E59" s="294">
        <v>19</v>
      </c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formatCells="0"/>
  <mergeCells count="5">
    <mergeCell ref="B2:D2"/>
    <mergeCell ref="B3:D3"/>
    <mergeCell ref="A7:E7"/>
    <mergeCell ref="A44:E44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59CE-41E4-4523-90D7-8432C476C706}">
  <sheetPr>
    <tabColor theme="5"/>
  </sheetPr>
  <dimension ref="A1:E60"/>
  <sheetViews>
    <sheetView zoomScale="120" zoomScaleNormal="120" workbookViewId="0">
      <selection activeCell="B8" sqref="B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CONCATENATE(Z_ALAPADATOK!M13,"1. melléklet ",Z_ALAPADATOK!A7," ",Z_ALAPADATOK!B7," ",Z_ALAPADATOK!C7," ",Z_ALAPADATOK!D7," ",Z_ALAPADATOK!E7," ",Z_ALAPADATOK!F7," ",Z_ALAPADATOK!G7," ",Z_ALAPADATOK!H7)</f>
        <v>6.3.1. melléklet a … / 2022. ( … ) önkormányzati rendelethez</v>
      </c>
      <c r="C1" s="872"/>
      <c r="D1" s="872"/>
      <c r="E1" s="872"/>
    </row>
    <row r="2" spans="1:5" s="217" customFormat="1" ht="37.5" customHeight="1" thickBot="1" x14ac:dyDescent="0.25">
      <c r="A2" s="328" t="s">
        <v>452</v>
      </c>
      <c r="B2" s="873" t="str">
        <f>CONCATENATE('Z_6.3.sz.mell'!B2:D2)</f>
        <v>Sajószögedi Általános Művelődési Központ - Család és Gyermekjóléti Szolgálat - Konyha - Művelődési Ház és Könyvtár</v>
      </c>
      <c r="C2" s="874"/>
      <c r="D2" s="875"/>
      <c r="E2" s="329" t="s">
        <v>43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'Z_6.3.sz.mell'!C8</f>
        <v>15478442</v>
      </c>
      <c r="D8" s="122">
        <f>'Z_6.3.sz.mell'!D8</f>
        <v>16233442</v>
      </c>
      <c r="E8" s="124">
        <f>'Z_6.3.sz.mell'!E8</f>
        <v>15447468</v>
      </c>
    </row>
    <row r="9" spans="1:5" s="155" customFormat="1" ht="12" customHeight="1" x14ac:dyDescent="0.2">
      <c r="A9" s="212" t="s">
        <v>63</v>
      </c>
      <c r="B9" s="8" t="s">
        <v>183</v>
      </c>
      <c r="C9" s="278">
        <f>'Z_6.3.sz.mell'!C9</f>
        <v>0</v>
      </c>
      <c r="D9" s="278">
        <f>'Z_6.3.sz.mell'!D9</f>
        <v>0</v>
      </c>
      <c r="E9" s="298">
        <f>'Z_6.3.sz.mell'!E9</f>
        <v>0</v>
      </c>
    </row>
    <row r="10" spans="1:5" s="155" customFormat="1" ht="12" customHeight="1" x14ac:dyDescent="0.2">
      <c r="A10" s="213" t="s">
        <v>64</v>
      </c>
      <c r="B10" s="6" t="s">
        <v>184</v>
      </c>
      <c r="C10" s="119">
        <f>'Z_6.3.sz.mell'!C10</f>
        <v>10903145</v>
      </c>
      <c r="D10" s="265">
        <f>'Z_6.3.sz.mell'!D10</f>
        <v>10903145</v>
      </c>
      <c r="E10" s="270">
        <f>'Z_6.3.sz.mell'!E10</f>
        <v>10676705</v>
      </c>
    </row>
    <row r="11" spans="1:5" s="155" customFormat="1" ht="12" customHeight="1" x14ac:dyDescent="0.2">
      <c r="A11" s="213" t="s">
        <v>65</v>
      </c>
      <c r="B11" s="6" t="s">
        <v>185</v>
      </c>
      <c r="C11" s="119">
        <f>'Z_6.3.sz.mell'!C11</f>
        <v>0</v>
      </c>
      <c r="D11" s="265">
        <f>'Z_6.3.sz.mell'!D11</f>
        <v>0</v>
      </c>
      <c r="E11" s="270">
        <f>'Z_6.3.sz.mell'!E11</f>
        <v>0</v>
      </c>
    </row>
    <row r="12" spans="1:5" s="155" customFormat="1" ht="12" customHeight="1" x14ac:dyDescent="0.2">
      <c r="A12" s="213" t="s">
        <v>66</v>
      </c>
      <c r="B12" s="6" t="s">
        <v>186</v>
      </c>
      <c r="C12" s="119">
        <f>'Z_6.3.sz.mell'!C12</f>
        <v>0</v>
      </c>
      <c r="D12" s="265">
        <f>'Z_6.3.sz.mell'!D12</f>
        <v>0</v>
      </c>
      <c r="E12" s="270">
        <f>'Z_6.3.sz.mell'!E12</f>
        <v>0</v>
      </c>
    </row>
    <row r="13" spans="1:5" s="155" customFormat="1" ht="12" customHeight="1" x14ac:dyDescent="0.2">
      <c r="A13" s="213" t="s">
        <v>96</v>
      </c>
      <c r="B13" s="6" t="s">
        <v>187</v>
      </c>
      <c r="C13" s="119">
        <f>'Z_6.3.sz.mell'!C13</f>
        <v>1412164</v>
      </c>
      <c r="D13" s="265">
        <f>'Z_6.3.sz.mell'!D13</f>
        <v>1912164</v>
      </c>
      <c r="E13" s="270">
        <f>'Z_6.3.sz.mell'!E13</f>
        <v>1481027</v>
      </c>
    </row>
    <row r="14" spans="1:5" s="155" customFormat="1" ht="12" customHeight="1" x14ac:dyDescent="0.2">
      <c r="A14" s="213" t="s">
        <v>67</v>
      </c>
      <c r="B14" s="6" t="s">
        <v>304</v>
      </c>
      <c r="C14" s="119">
        <f>'Z_6.3.sz.mell'!C14</f>
        <v>3163133</v>
      </c>
      <c r="D14" s="265">
        <f>'Z_6.3.sz.mell'!D14</f>
        <v>3298133</v>
      </c>
      <c r="E14" s="270">
        <f>'Z_6.3.sz.mell'!E14</f>
        <v>3273497</v>
      </c>
    </row>
    <row r="15" spans="1:5" s="155" customFormat="1" ht="12" customHeight="1" x14ac:dyDescent="0.2">
      <c r="A15" s="213" t="s">
        <v>68</v>
      </c>
      <c r="B15" s="5" t="s">
        <v>305</v>
      </c>
      <c r="C15" s="119">
        <f>'Z_6.3.sz.mell'!C15</f>
        <v>0</v>
      </c>
      <c r="D15" s="265">
        <f>'Z_6.3.sz.mell'!D15</f>
        <v>0</v>
      </c>
      <c r="E15" s="270">
        <f>'Z_6.3.sz.mell'!E15</f>
        <v>0</v>
      </c>
    </row>
    <row r="16" spans="1:5" s="155" customFormat="1" ht="12" customHeight="1" x14ac:dyDescent="0.2">
      <c r="A16" s="213" t="s">
        <v>76</v>
      </c>
      <c r="B16" s="6" t="s">
        <v>190</v>
      </c>
      <c r="C16" s="276">
        <f>'Z_6.3.sz.mell'!C16</f>
        <v>0</v>
      </c>
      <c r="D16" s="303">
        <f>'Z_6.3.sz.mell'!D16</f>
        <v>0</v>
      </c>
      <c r="E16" s="274">
        <f>'Z_6.3.sz.mell'!E16</f>
        <v>1</v>
      </c>
    </row>
    <row r="17" spans="1:5" s="220" customFormat="1" ht="12" customHeight="1" x14ac:dyDescent="0.2">
      <c r="A17" s="213" t="s">
        <v>77</v>
      </c>
      <c r="B17" s="6" t="s">
        <v>191</v>
      </c>
      <c r="C17" s="119">
        <f>'Z_6.3.sz.mell'!C17</f>
        <v>0</v>
      </c>
      <c r="D17" s="265">
        <f>'Z_6.3.sz.mell'!D17</f>
        <v>0</v>
      </c>
      <c r="E17" s="270">
        <f>'Z_6.3.sz.mell'!E17</f>
        <v>0</v>
      </c>
    </row>
    <row r="18" spans="1:5" s="220" customFormat="1" ht="12" customHeight="1" x14ac:dyDescent="0.2">
      <c r="A18" s="213" t="s">
        <v>78</v>
      </c>
      <c r="B18" s="6" t="s">
        <v>337</v>
      </c>
      <c r="C18" s="121">
        <f>'Z_6.3.sz.mell'!C18</f>
        <v>0</v>
      </c>
      <c r="D18" s="266">
        <f>'Z_6.3.sz.mell'!D18</f>
        <v>0</v>
      </c>
      <c r="E18" s="271">
        <f>'Z_6.3.sz.mell'!E18</f>
        <v>0</v>
      </c>
    </row>
    <row r="19" spans="1:5" s="220" customFormat="1" ht="12" customHeight="1" thickBot="1" x14ac:dyDescent="0.25">
      <c r="A19" s="213" t="s">
        <v>79</v>
      </c>
      <c r="B19" s="5" t="s">
        <v>192</v>
      </c>
      <c r="C19" s="121">
        <f>'Z_6.3.sz.mell'!C19</f>
        <v>0</v>
      </c>
      <c r="D19" s="266">
        <f>'Z_6.3.sz.mell'!D19</f>
        <v>120000</v>
      </c>
      <c r="E19" s="271">
        <f>'Z_6.3.sz.mell'!E19</f>
        <v>16238</v>
      </c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'Z_6.3.sz.mell'!C20</f>
        <v>0</v>
      </c>
      <c r="D20" s="267">
        <f>'Z_6.3.sz.mell'!D20</f>
        <v>0</v>
      </c>
      <c r="E20" s="150">
        <f>'Z_6.3.sz.mell'!E20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>
        <f>'Z_6.3.sz.mell'!C21</f>
        <v>0</v>
      </c>
      <c r="D21" s="265">
        <f>'Z_6.3.sz.mell'!D21</f>
        <v>0</v>
      </c>
      <c r="E21" s="270">
        <f>'Z_6.3.sz.mell'!E21</f>
        <v>0</v>
      </c>
    </row>
    <row r="22" spans="1:5" s="220" customFormat="1" ht="12" customHeight="1" x14ac:dyDescent="0.2">
      <c r="A22" s="213" t="s">
        <v>70</v>
      </c>
      <c r="B22" s="6" t="s">
        <v>307</v>
      </c>
      <c r="C22" s="119">
        <f>'Z_6.3.sz.mell'!C22</f>
        <v>0</v>
      </c>
      <c r="D22" s="265">
        <f>'Z_6.3.sz.mell'!D22</f>
        <v>0</v>
      </c>
      <c r="E22" s="270">
        <f>'Z_6.3.sz.mell'!E22</f>
        <v>0</v>
      </c>
    </row>
    <row r="23" spans="1:5" s="220" customFormat="1" ht="12" customHeight="1" x14ac:dyDescent="0.2">
      <c r="A23" s="213" t="s">
        <v>71</v>
      </c>
      <c r="B23" s="6" t="s">
        <v>308</v>
      </c>
      <c r="C23" s="119">
        <f>'Z_6.3.sz.mell'!C23</f>
        <v>0</v>
      </c>
      <c r="D23" s="265">
        <f>'Z_6.3.sz.mell'!D23</f>
        <v>0</v>
      </c>
      <c r="E23" s="270">
        <f>'Z_6.3.sz.mell'!E23</f>
        <v>0</v>
      </c>
    </row>
    <row r="24" spans="1:5" s="220" customFormat="1" ht="12" customHeight="1" thickBot="1" x14ac:dyDescent="0.25">
      <c r="A24" s="213" t="s">
        <v>72</v>
      </c>
      <c r="B24" s="6" t="s">
        <v>411</v>
      </c>
      <c r="C24" s="119">
        <f>'Z_6.3.sz.mell'!C24</f>
        <v>0</v>
      </c>
      <c r="D24" s="265">
        <f>'Z_6.3.sz.mell'!D24</f>
        <v>0</v>
      </c>
      <c r="E24" s="270">
        <f>'Z_6.3.sz.mell'!E24</f>
        <v>0</v>
      </c>
    </row>
    <row r="25" spans="1:5" s="220" customFormat="1" ht="12" customHeight="1" thickBot="1" x14ac:dyDescent="0.25">
      <c r="A25" s="81" t="s">
        <v>8</v>
      </c>
      <c r="B25" s="59" t="s">
        <v>112</v>
      </c>
      <c r="C25" s="300">
        <f>'Z_6.3.sz.mell'!C25</f>
        <v>0</v>
      </c>
      <c r="D25" s="302">
        <f>'Z_6.3.sz.mell'!D25</f>
        <v>0</v>
      </c>
      <c r="E25" s="149">
        <f>'Z_6.3.sz.mell'!E25</f>
        <v>0</v>
      </c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'Z_6.3.sz.mell'!C26</f>
        <v>0</v>
      </c>
      <c r="D26" s="267">
        <f>'Z_6.3.sz.mell'!D26</f>
        <v>0</v>
      </c>
      <c r="E26" s="150">
        <f>'Z_6.3.sz.mell'!E26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>
        <f>'Z_6.3.sz.mell'!C27</f>
        <v>0</v>
      </c>
      <c r="D27" s="61">
        <f>'Z_6.3.sz.mell'!D27</f>
        <v>0</v>
      </c>
      <c r="E27" s="275">
        <f>'Z_6.3.sz.mell'!E27</f>
        <v>0</v>
      </c>
    </row>
    <row r="28" spans="1:5" s="220" customFormat="1" ht="12" customHeight="1" x14ac:dyDescent="0.2">
      <c r="A28" s="214" t="s">
        <v>177</v>
      </c>
      <c r="B28" s="216" t="s">
        <v>310</v>
      </c>
      <c r="C28" s="123">
        <f>'Z_6.3.sz.mell'!C28</f>
        <v>0</v>
      </c>
      <c r="D28" s="268">
        <f>'Z_6.3.sz.mell'!D28</f>
        <v>0</v>
      </c>
      <c r="E28" s="272">
        <f>'Z_6.3.sz.mell'!E28</f>
        <v>0</v>
      </c>
    </row>
    <row r="29" spans="1:5" s="220" customFormat="1" ht="12" customHeight="1" thickBot="1" x14ac:dyDescent="0.25">
      <c r="A29" s="213" t="s">
        <v>178</v>
      </c>
      <c r="B29" s="64" t="s">
        <v>412</v>
      </c>
      <c r="C29" s="50">
        <f>'Z_6.3.sz.mell'!C29</f>
        <v>0</v>
      </c>
      <c r="D29" s="304">
        <f>'Z_6.3.sz.mell'!D29</f>
        <v>0</v>
      </c>
      <c r="E29" s="299">
        <f>'Z_6.3.sz.mell'!E29</f>
        <v>0</v>
      </c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'Z_6.3.sz.mell'!C30</f>
        <v>0</v>
      </c>
      <c r="D30" s="267">
        <f>'Z_6.3.sz.mell'!D30</f>
        <v>0</v>
      </c>
      <c r="E30" s="150">
        <f>'Z_6.3.sz.mell'!E30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>
        <f>'Z_6.3.sz.mell'!C31</f>
        <v>0</v>
      </c>
      <c r="D31" s="61">
        <f>'Z_6.3.sz.mell'!D31</f>
        <v>0</v>
      </c>
      <c r="E31" s="275">
        <f>'Z_6.3.sz.mell'!E31</f>
        <v>0</v>
      </c>
    </row>
    <row r="32" spans="1:5" s="220" customFormat="1" ht="12" customHeight="1" x14ac:dyDescent="0.2">
      <c r="A32" s="214" t="s">
        <v>57</v>
      </c>
      <c r="B32" s="216" t="s">
        <v>198</v>
      </c>
      <c r="C32" s="123">
        <f>'Z_6.3.sz.mell'!C32</f>
        <v>0</v>
      </c>
      <c r="D32" s="268">
        <f>'Z_6.3.sz.mell'!D32</f>
        <v>0</v>
      </c>
      <c r="E32" s="272">
        <f>'Z_6.3.sz.mell'!E32</f>
        <v>0</v>
      </c>
    </row>
    <row r="33" spans="1:5" s="220" customFormat="1" ht="12" customHeight="1" thickBot="1" x14ac:dyDescent="0.25">
      <c r="A33" s="213" t="s">
        <v>58</v>
      </c>
      <c r="B33" s="64" t="s">
        <v>199</v>
      </c>
      <c r="C33" s="50">
        <f>'Z_6.3.sz.mell'!C33</f>
        <v>0</v>
      </c>
      <c r="D33" s="304">
        <f>'Z_6.3.sz.mell'!D33</f>
        <v>0</v>
      </c>
      <c r="E33" s="299">
        <f>'Z_6.3.sz.mell'!E33</f>
        <v>0</v>
      </c>
    </row>
    <row r="34" spans="1:5" s="155" customFormat="1" ht="12" customHeight="1" thickBot="1" x14ac:dyDescent="0.25">
      <c r="A34" s="81" t="s">
        <v>11</v>
      </c>
      <c r="B34" s="59" t="s">
        <v>282</v>
      </c>
      <c r="C34" s="300">
        <f>'Z_6.3.sz.mell'!C34</f>
        <v>0</v>
      </c>
      <c r="D34" s="302">
        <f>'Z_6.3.sz.mell'!D34</f>
        <v>0</v>
      </c>
      <c r="E34" s="149">
        <f>'Z_6.3.sz.mell'!E34</f>
        <v>220000</v>
      </c>
    </row>
    <row r="35" spans="1:5" s="155" customFormat="1" ht="12" customHeight="1" thickBot="1" x14ac:dyDescent="0.25">
      <c r="A35" s="81" t="s">
        <v>12</v>
      </c>
      <c r="B35" s="59" t="s">
        <v>312</v>
      </c>
      <c r="C35" s="300">
        <f>'Z_6.3.sz.mell'!C35</f>
        <v>0</v>
      </c>
      <c r="D35" s="302">
        <f>'Z_6.3.sz.mell'!D35</f>
        <v>0</v>
      </c>
      <c r="E35" s="149">
        <f>'Z_6.3.sz.mell'!E35</f>
        <v>0</v>
      </c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'Z_6.3.sz.mell'!C36</f>
        <v>15478442</v>
      </c>
      <c r="D36" s="267">
        <f>'Z_6.3.sz.mell'!D36</f>
        <v>16233442</v>
      </c>
      <c r="E36" s="150">
        <f>'Z_6.3.sz.mell'!E36</f>
        <v>15667468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'Z_6.3.sz.mell'!C37</f>
        <v>134061036</v>
      </c>
      <c r="D37" s="267">
        <f>'Z_6.3.sz.mell'!D37</f>
        <v>141155367</v>
      </c>
      <c r="E37" s="150">
        <f>'Z_6.3.sz.mell'!E37</f>
        <v>129569316</v>
      </c>
    </row>
    <row r="38" spans="1:5" s="155" customFormat="1" ht="12" customHeight="1" x14ac:dyDescent="0.2">
      <c r="A38" s="214" t="s">
        <v>315</v>
      </c>
      <c r="B38" s="215" t="s">
        <v>149</v>
      </c>
      <c r="C38" s="277">
        <f>'Z_6.3.sz.mell'!C38</f>
        <v>2143506</v>
      </c>
      <c r="D38" s="61">
        <f>'Z_6.3.sz.mell'!D38</f>
        <v>2143506</v>
      </c>
      <c r="E38" s="275">
        <f>'Z_6.3.sz.mell'!E38</f>
        <v>2143506</v>
      </c>
    </row>
    <row r="39" spans="1:5" s="155" customFormat="1" ht="12" customHeight="1" x14ac:dyDescent="0.2">
      <c r="A39" s="214" t="s">
        <v>316</v>
      </c>
      <c r="B39" s="216" t="s">
        <v>0</v>
      </c>
      <c r="C39" s="123">
        <f>'Z_6.3.sz.mell'!C39</f>
        <v>0</v>
      </c>
      <c r="D39" s="268">
        <f>'Z_6.3.sz.mell'!D39</f>
        <v>0</v>
      </c>
      <c r="E39" s="272">
        <f>'Z_6.3.sz.mell'!E39</f>
        <v>0</v>
      </c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f>'Z_6.3.sz.mell'!C40</f>
        <v>131917530</v>
      </c>
      <c r="D40" s="304">
        <f>'Z_6.3.sz.mell'!D40</f>
        <v>139011861</v>
      </c>
      <c r="E40" s="299">
        <f>'Z_6.3.sz.mell'!E40</f>
        <v>127425810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'Z_6.3.sz.mell'!C41</f>
        <v>149539478</v>
      </c>
      <c r="D41" s="297">
        <f>'Z_6.3.sz.mell'!D41</f>
        <v>157388809</v>
      </c>
      <c r="E41" s="153">
        <f>'Z_6.3.sz.mell'!E41</f>
        <v>145236784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'Z_6.3.sz.mell'!C45</f>
        <v>146262878</v>
      </c>
      <c r="D45" s="267">
        <f>'Z_6.3.sz.mell'!D45</f>
        <v>154112209</v>
      </c>
      <c r="E45" s="150">
        <f>'Z_6.3.sz.mell'!E45</f>
        <v>139261378</v>
      </c>
    </row>
    <row r="46" spans="1:5" ht="12" customHeight="1" x14ac:dyDescent="0.2">
      <c r="A46" s="213" t="s">
        <v>63</v>
      </c>
      <c r="B46" s="7" t="s">
        <v>35</v>
      </c>
      <c r="C46" s="277">
        <f>'Z_6.3.sz.mell'!C46</f>
        <v>74959350</v>
      </c>
      <c r="D46" s="61">
        <f>'Z_6.3.sz.mell'!D46</f>
        <v>79844442</v>
      </c>
      <c r="E46" s="275">
        <f>'Z_6.3.sz.mell'!E46</f>
        <v>74723207</v>
      </c>
    </row>
    <row r="47" spans="1:5" ht="12" customHeight="1" x14ac:dyDescent="0.2">
      <c r="A47" s="213" t="s">
        <v>64</v>
      </c>
      <c r="B47" s="6" t="s">
        <v>121</v>
      </c>
      <c r="C47" s="49">
        <f>'Z_6.3.sz.mell'!C47</f>
        <v>12900878</v>
      </c>
      <c r="D47" s="62">
        <f>'Z_6.3.sz.mell'!D47</f>
        <v>13400878</v>
      </c>
      <c r="E47" s="273">
        <f>'Z_6.3.sz.mell'!E47</f>
        <v>11279199</v>
      </c>
    </row>
    <row r="48" spans="1:5" ht="12" customHeight="1" x14ac:dyDescent="0.2">
      <c r="A48" s="213" t="s">
        <v>65</v>
      </c>
      <c r="B48" s="6" t="s">
        <v>89</v>
      </c>
      <c r="C48" s="49">
        <f>'Z_6.3.sz.mell'!C48</f>
        <v>58402650</v>
      </c>
      <c r="D48" s="62">
        <f>'Z_6.3.sz.mell'!D48</f>
        <v>60866889</v>
      </c>
      <c r="E48" s="273">
        <f>'Z_6.3.sz.mell'!E48</f>
        <v>53258972</v>
      </c>
    </row>
    <row r="49" spans="1:5" ht="12" customHeight="1" x14ac:dyDescent="0.2">
      <c r="A49" s="213" t="s">
        <v>66</v>
      </c>
      <c r="B49" s="6" t="s">
        <v>122</v>
      </c>
      <c r="C49" s="49">
        <f>'Z_6.3.sz.mell'!C49</f>
        <v>0</v>
      </c>
      <c r="D49" s="62">
        <f>'Z_6.3.sz.mell'!D49</f>
        <v>0</v>
      </c>
      <c r="E49" s="273">
        <f>'Z_6.3.sz.mell'!E49</f>
        <v>0</v>
      </c>
    </row>
    <row r="50" spans="1:5" ht="12" customHeight="1" thickBot="1" x14ac:dyDescent="0.25">
      <c r="A50" s="213" t="s">
        <v>96</v>
      </c>
      <c r="B50" s="6" t="s">
        <v>123</v>
      </c>
      <c r="C50" s="49">
        <f>'Z_6.3.sz.mell'!C50</f>
        <v>0</v>
      </c>
      <c r="D50" s="62">
        <f>'Z_6.3.sz.mell'!D50</f>
        <v>0</v>
      </c>
      <c r="E50" s="273">
        <f>'Z_6.3.sz.mell'!E50</f>
        <v>0</v>
      </c>
    </row>
    <row r="51" spans="1:5" ht="12" customHeight="1" thickBot="1" x14ac:dyDescent="0.25">
      <c r="A51" s="81" t="s">
        <v>7</v>
      </c>
      <c r="B51" s="59" t="s">
        <v>321</v>
      </c>
      <c r="C51" s="122">
        <f>'Z_6.3.sz.mell'!C51</f>
        <v>3276600</v>
      </c>
      <c r="D51" s="267">
        <f>'Z_6.3.sz.mell'!D51</f>
        <v>3276600</v>
      </c>
      <c r="E51" s="150">
        <f>'Z_6.3.sz.mell'!E51</f>
        <v>2312524</v>
      </c>
    </row>
    <row r="52" spans="1:5" s="221" customFormat="1" ht="12" customHeight="1" x14ac:dyDescent="0.2">
      <c r="A52" s="213" t="s">
        <v>69</v>
      </c>
      <c r="B52" s="7" t="s">
        <v>142</v>
      </c>
      <c r="C52" s="277">
        <f>'Z_6.3.sz.mell'!C52</f>
        <v>3276600</v>
      </c>
      <c r="D52" s="61">
        <f>'Z_6.3.sz.mell'!D52</f>
        <v>3276600</v>
      </c>
      <c r="E52" s="275">
        <f>'Z_6.3.sz.mell'!E52</f>
        <v>2312524</v>
      </c>
    </row>
    <row r="53" spans="1:5" ht="12" customHeight="1" x14ac:dyDescent="0.2">
      <c r="A53" s="213" t="s">
        <v>70</v>
      </c>
      <c r="B53" s="6" t="s">
        <v>125</v>
      </c>
      <c r="C53" s="49">
        <f>'Z_6.3.sz.mell'!C53</f>
        <v>0</v>
      </c>
      <c r="D53" s="62">
        <f>'Z_6.3.sz.mell'!D53</f>
        <v>0</v>
      </c>
      <c r="E53" s="273">
        <f>'Z_6.3.sz.mell'!E53</f>
        <v>0</v>
      </c>
    </row>
    <row r="54" spans="1:5" ht="12" customHeight="1" x14ac:dyDescent="0.2">
      <c r="A54" s="213" t="s">
        <v>71</v>
      </c>
      <c r="B54" s="6" t="s">
        <v>41</v>
      </c>
      <c r="C54" s="49">
        <f>'Z_6.3.sz.mell'!C54</f>
        <v>0</v>
      </c>
      <c r="D54" s="62">
        <f>'Z_6.3.sz.mell'!D54</f>
        <v>0</v>
      </c>
      <c r="E54" s="273">
        <f>'Z_6.3.sz.mell'!E54</f>
        <v>0</v>
      </c>
    </row>
    <row r="55" spans="1:5" ht="12" customHeight="1" thickBot="1" x14ac:dyDescent="0.25">
      <c r="A55" s="213" t="s">
        <v>72</v>
      </c>
      <c r="B55" s="6" t="s">
        <v>410</v>
      </c>
      <c r="C55" s="49">
        <f>'Z_6.3.sz.mell'!C55</f>
        <v>0</v>
      </c>
      <c r="D55" s="62">
        <f>'Z_6.3.sz.mell'!D55</f>
        <v>0</v>
      </c>
      <c r="E55" s="273">
        <f>'Z_6.3.sz.mell'!E55</f>
        <v>0</v>
      </c>
    </row>
    <row r="56" spans="1:5" ht="15.2" customHeight="1" thickBot="1" x14ac:dyDescent="0.25">
      <c r="A56" s="81" t="s">
        <v>8</v>
      </c>
      <c r="B56" s="59" t="s">
        <v>2</v>
      </c>
      <c r="C56" s="300">
        <f>'Z_6.3.sz.mell'!C56</f>
        <v>0</v>
      </c>
      <c r="D56" s="302">
        <f>'Z_6.3.sz.mell'!D56</f>
        <v>0</v>
      </c>
      <c r="E56" s="149">
        <f>'Z_6.3.sz.mell'!E56</f>
        <v>0</v>
      </c>
    </row>
    <row r="57" spans="1:5" ht="13.5" thickBot="1" x14ac:dyDescent="0.25">
      <c r="A57" s="81" t="s">
        <v>9</v>
      </c>
      <c r="B57" s="93" t="s">
        <v>414</v>
      </c>
      <c r="C57" s="301">
        <f>'Z_6.3.sz.mell'!C57</f>
        <v>149539478</v>
      </c>
      <c r="D57" s="297">
        <f>'Z_6.3.sz.mell'!D57</f>
        <v>157388809</v>
      </c>
      <c r="E57" s="153">
        <f>'Z_6.3.sz.mell'!E57</f>
        <v>141573902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>
        <f>'Z_6.3.sz.mell'!C59</f>
        <v>19</v>
      </c>
      <c r="D59" s="295">
        <f>'Z_6.3.sz.mell'!D59</f>
        <v>19</v>
      </c>
      <c r="E59" s="294">
        <f>'Z_6.3.sz.mell'!E59</f>
        <v>19</v>
      </c>
    </row>
    <row r="60" spans="1:5" ht="13.5" thickBot="1" x14ac:dyDescent="0.25">
      <c r="A60" s="307" t="s">
        <v>485</v>
      </c>
      <c r="B60" s="308"/>
      <c r="C60" s="295">
        <f>'Z_6.3.sz.mell'!C60</f>
        <v>0</v>
      </c>
      <c r="D60" s="295">
        <f>'Z_6.3.sz.mell'!D60</f>
        <v>0</v>
      </c>
      <c r="E60" s="294">
        <f>'Z_6.3.sz.mell'!E60</f>
        <v>0</v>
      </c>
    </row>
  </sheetData>
  <sheetProtection formatCells="0"/>
  <mergeCells count="5">
    <mergeCell ref="B2:D2"/>
    <mergeCell ref="B3:D3"/>
    <mergeCell ref="A7:E7"/>
    <mergeCell ref="A44:E44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6EFE-E09D-4AF6-B6B9-490656E62830}">
  <sheetPr>
    <tabColor theme="0" tint="-0.499984740745262"/>
  </sheetPr>
  <dimension ref="A1:E60"/>
  <sheetViews>
    <sheetView zoomScale="120" zoomScaleNormal="120" workbookViewId="0">
      <selection activeCell="J21" sqref="J21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CONCATENATE(Z_ALAPADATOK!M13,"2. melléklet ",Z_ALAPADATOK!A7," ",Z_ALAPADATOK!B7," ",Z_ALAPADATOK!C7," ",Z_ALAPADATOK!D7," ",Z_ALAPADATOK!E7," ",Z_ALAPADATOK!F7," ",Z_ALAPADATOK!G7," ",Z_ALAPADATOK!H7)</f>
        <v>6.3.2.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CONCATENATE('Z_6.3.1.sz.mell'!B2:D2)</f>
        <v>Sajószögedi Általános Művelődési Központ - Család és Gyermekjóléti Szolgálat - Konyha - Művelődési Ház és Könyvtár</v>
      </c>
      <c r="C2" s="869"/>
      <c r="D2" s="870"/>
      <c r="E2" s="329" t="s">
        <v>43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'Z_6.3.1.sz.mell'!E4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+CONCATENATE("Teljesítés",CHAR(10),LEFT(Z_ÖSSZEFÜGGÉSEK!A6,4),". XII. 31.")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2:D2"/>
    <mergeCell ref="B3:D3"/>
    <mergeCell ref="A7:E7"/>
    <mergeCell ref="A44:E44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E1F8-CB8B-4687-B7D6-BE1E8A6CF097}">
  <sheetPr>
    <tabColor theme="0" tint="-0.499984740745262"/>
  </sheetPr>
  <dimension ref="A1:E60"/>
  <sheetViews>
    <sheetView zoomScale="120" zoomScaleNormal="120" workbookViewId="0">
      <selection activeCell="J21" sqref="J21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CONCATENATE(Z_ALAPADATOK!M13,"3. melléklet ",Z_ALAPADATOK!A7," ",Z_ALAPADATOK!B7," ",Z_ALAPADATOK!C7," ",Z_ALAPADATOK!D7," ",Z_ALAPADATOK!E7," ",Z_ALAPADATOK!F7," ",Z_ALAPADATOK!G7," ",Z_ALAPADATOK!H7)</f>
        <v>6.3.3.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CONCATENATE('Z_6.3.2.sz.mell'!B2:D2)</f>
        <v>Sajószögedi Általános Művelődési Központ - Család és Gyermekjóléti Szolgálat - Konyha - Művelődési Ház és Könyvtár</v>
      </c>
      <c r="C2" s="869"/>
      <c r="D2" s="870"/>
      <c r="E2" s="329" t="s">
        <v>43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'Z_6.3.2.sz.mell'!E4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CONCATENATE('Z_6.3.2.sz.mell'!E5)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2:D2"/>
    <mergeCell ref="B3:D3"/>
    <mergeCell ref="A7:E7"/>
    <mergeCell ref="A44:E44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16FE-3432-4551-BC01-6DAFEDFA276C}">
  <sheetPr>
    <tabColor theme="5"/>
  </sheetPr>
  <dimension ref="A1:E60"/>
  <sheetViews>
    <sheetView zoomScale="120" zoomScaleNormal="120" workbookViewId="0">
      <selection activeCell="E69" sqref="E69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CONCATENATE(Z_ALAPADATOK!M15," melléklet ",Z_ALAPADATOK!A7," ",Z_ALAPADATOK!B7," ",Z_ALAPADATOK!C7," ",Z_ALAPADATOK!D7," ",Z_ALAPADATOK!E7," ",Z_ALAPADATOK!F7," ",Z_ALAPADATOK!G7," ",Z_ALAPADATOK!H7)</f>
        <v>6.4. melléklet a … / 2022. ( … ) önkormányzati rendelethez</v>
      </c>
      <c r="C1" s="867"/>
      <c r="D1" s="867"/>
      <c r="E1" s="867"/>
    </row>
    <row r="2" spans="1:5" s="217" customFormat="1" ht="25.5" customHeight="1" thickBot="1" x14ac:dyDescent="0.25">
      <c r="A2" s="328" t="s">
        <v>452</v>
      </c>
      <c r="B2" s="868" t="str">
        <f>CONCATENATE(Z_ALAPADATOK!B15)</f>
        <v>Sajószögedi Zöld Sziget Bölcsőde</v>
      </c>
      <c r="C2" s="869"/>
      <c r="D2" s="870"/>
      <c r="E2" s="329" t="s">
        <v>332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CONCATENATE('Z_6.3.3.sz.mell'!E5)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3800000</v>
      </c>
      <c r="D8" s="122">
        <f>SUM(D9:D19)</f>
        <v>2750000</v>
      </c>
      <c r="E8" s="124">
        <f>SUM(E9:E19)</f>
        <v>2085792</v>
      </c>
    </row>
    <row r="9" spans="1:5" s="155" customFormat="1" ht="12" customHeight="1" x14ac:dyDescent="0.2">
      <c r="A9" s="212" t="s">
        <v>63</v>
      </c>
      <c r="B9" s="8" t="s">
        <v>183</v>
      </c>
      <c r="C9" s="720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720">
        <v>2992126</v>
      </c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720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720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720"/>
      <c r="D13" s="265">
        <v>2700000</v>
      </c>
      <c r="E13" s="270">
        <v>2083000</v>
      </c>
    </row>
    <row r="14" spans="1:5" s="155" customFormat="1" ht="12" customHeight="1" x14ac:dyDescent="0.2">
      <c r="A14" s="213" t="s">
        <v>67</v>
      </c>
      <c r="B14" s="6" t="s">
        <v>304</v>
      </c>
      <c r="C14" s="720">
        <v>807874</v>
      </c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720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720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>
        <v>50000</v>
      </c>
      <c r="E19" s="271">
        <v>2792</v>
      </c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>
        <v>150000</v>
      </c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3800000</v>
      </c>
      <c r="D36" s="267">
        <f>+D8+D20+D25+D26+D30+D34+D35</f>
        <v>2750000</v>
      </c>
      <c r="E36" s="150">
        <f>+E8+E20+E25+E26+E30+E34+E35</f>
        <v>2235792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36536781</v>
      </c>
      <c r="D37" s="267">
        <f>+D38+D39+D40</f>
        <v>42034481</v>
      </c>
      <c r="E37" s="150">
        <f>+E38+E39+E40</f>
        <v>37587205</v>
      </c>
    </row>
    <row r="38" spans="1:5" s="155" customFormat="1" ht="12" customHeight="1" x14ac:dyDescent="0.2">
      <c r="A38" s="214" t="s">
        <v>315</v>
      </c>
      <c r="B38" s="215" t="s">
        <v>149</v>
      </c>
      <c r="C38" s="277">
        <v>383696</v>
      </c>
      <c r="D38" s="61">
        <v>383696</v>
      </c>
      <c r="E38" s="275">
        <v>383696</v>
      </c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>
        <v>0</v>
      </c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v>36153085</v>
      </c>
      <c r="D40" s="304">
        <v>41650785</v>
      </c>
      <c r="E40" s="299">
        <v>37203509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40336781</v>
      </c>
      <c r="D41" s="297">
        <f>+D36+D37</f>
        <v>44784481</v>
      </c>
      <c r="E41" s="153">
        <f>+E36+E37</f>
        <v>39822997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39054081</v>
      </c>
      <c r="D45" s="267">
        <f>SUM(D46:D50)</f>
        <v>43501781</v>
      </c>
      <c r="E45" s="150">
        <f>SUM(E46:E50)</f>
        <v>38840117</v>
      </c>
    </row>
    <row r="46" spans="1:5" ht="12" customHeight="1" x14ac:dyDescent="0.2">
      <c r="A46" s="213" t="s">
        <v>63</v>
      </c>
      <c r="B46" s="7" t="s">
        <v>35</v>
      </c>
      <c r="C46" s="277">
        <v>29943670</v>
      </c>
      <c r="D46" s="61">
        <v>32061883</v>
      </c>
      <c r="E46" s="275">
        <v>29179385</v>
      </c>
    </row>
    <row r="47" spans="1:5" ht="12" customHeight="1" x14ac:dyDescent="0.2">
      <c r="A47" s="213" t="s">
        <v>64</v>
      </c>
      <c r="B47" s="6" t="s">
        <v>121</v>
      </c>
      <c r="C47" s="49">
        <v>4735261</v>
      </c>
      <c r="D47" s="62">
        <v>4819898</v>
      </c>
      <c r="E47" s="273">
        <v>4519455</v>
      </c>
    </row>
    <row r="48" spans="1:5" ht="12" customHeight="1" x14ac:dyDescent="0.2">
      <c r="A48" s="213" t="s">
        <v>65</v>
      </c>
      <c r="B48" s="6" t="s">
        <v>89</v>
      </c>
      <c r="C48" s="49">
        <v>4375150</v>
      </c>
      <c r="D48" s="62">
        <v>6620000</v>
      </c>
      <c r="E48" s="273">
        <v>5141277</v>
      </c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1282700</v>
      </c>
      <c r="D51" s="267">
        <f>SUM(D52:D54)</f>
        <v>1282700</v>
      </c>
      <c r="E51" s="150">
        <f>SUM(E52:E54)</f>
        <v>730011</v>
      </c>
    </row>
    <row r="52" spans="1:5" s="221" customFormat="1" ht="12" customHeight="1" x14ac:dyDescent="0.2">
      <c r="A52" s="213" t="s">
        <v>69</v>
      </c>
      <c r="B52" s="7" t="s">
        <v>142</v>
      </c>
      <c r="C52" s="277">
        <v>1282700</v>
      </c>
      <c r="D52" s="61">
        <v>1282700</v>
      </c>
      <c r="E52" s="275">
        <v>730011</v>
      </c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40336781</v>
      </c>
      <c r="D57" s="297">
        <f>+D45+D51+D56</f>
        <v>44784481</v>
      </c>
      <c r="E57" s="153">
        <f>+E45+E51+E56</f>
        <v>39570128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>
        <v>8</v>
      </c>
      <c r="D59" s="295">
        <v>8</v>
      </c>
      <c r="E59" s="294">
        <v>8</v>
      </c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6B77D-6DFB-43ED-8605-520684D5B7B3}">
  <sheetPr>
    <tabColor theme="5"/>
  </sheetPr>
  <dimension ref="A1:E60"/>
  <sheetViews>
    <sheetView zoomScale="120" zoomScaleNormal="120" workbookViewId="0">
      <selection activeCell="I15" sqref="I15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CONCATENATE(Z_ALAPADATOK!M15,"1. melléklet ",Z_ALAPADATOK!A7," ",Z_ALAPADATOK!B7," ",Z_ALAPADATOK!C7," ",Z_ALAPADATOK!D7," ",Z_ALAPADATOK!E7," ",Z_ALAPADATOK!F7," ",Z_ALAPADATOK!G7," ",Z_ALAPADATOK!H7)</f>
        <v>6.4.1.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CONCATENATE('Z_6.4.sz.mell'!B2:D2)</f>
        <v>Sajószögedi Zöld Sziget Bölcsőde</v>
      </c>
      <c r="C2" s="869"/>
      <c r="D2" s="870"/>
      <c r="E2" s="329" t="s">
        <v>332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'Z_6.4.sz.mell'!E4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CONCATENATE('Z_6.4.sz.mell'!E5)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'Z_6.4.sz.mell'!C8</f>
        <v>3800000</v>
      </c>
      <c r="D8" s="122">
        <f>'Z_6.4.sz.mell'!D8</f>
        <v>2750000</v>
      </c>
      <c r="E8" s="124">
        <f>'Z_6.4.sz.mell'!E8</f>
        <v>2085792</v>
      </c>
    </row>
    <row r="9" spans="1:5" s="155" customFormat="1" ht="12" customHeight="1" x14ac:dyDescent="0.2">
      <c r="A9" s="212" t="s">
        <v>63</v>
      </c>
      <c r="B9" s="8" t="s">
        <v>183</v>
      </c>
      <c r="C9" s="278">
        <f>'Z_6.4.sz.mell'!C9</f>
        <v>0</v>
      </c>
      <c r="D9" s="278">
        <f>'Z_6.4.sz.mell'!D9</f>
        <v>0</v>
      </c>
      <c r="E9" s="298">
        <f>'Z_6.4.sz.mell'!E9</f>
        <v>0</v>
      </c>
    </row>
    <row r="10" spans="1:5" s="155" customFormat="1" ht="12" customHeight="1" x14ac:dyDescent="0.2">
      <c r="A10" s="213" t="s">
        <v>64</v>
      </c>
      <c r="B10" s="6" t="s">
        <v>184</v>
      </c>
      <c r="C10" s="119">
        <f>'Z_6.4.sz.mell'!C10</f>
        <v>2992126</v>
      </c>
      <c r="D10" s="265">
        <f>'Z_6.4.sz.mell'!D10</f>
        <v>0</v>
      </c>
      <c r="E10" s="270">
        <f>'Z_6.4.sz.mell'!E10</f>
        <v>0</v>
      </c>
    </row>
    <row r="11" spans="1:5" s="155" customFormat="1" ht="12" customHeight="1" x14ac:dyDescent="0.2">
      <c r="A11" s="213" t="s">
        <v>65</v>
      </c>
      <c r="B11" s="6" t="s">
        <v>185</v>
      </c>
      <c r="C11" s="119">
        <f>'Z_6.4.sz.mell'!C11</f>
        <v>0</v>
      </c>
      <c r="D11" s="265">
        <f>'Z_6.4.sz.mell'!D11</f>
        <v>0</v>
      </c>
      <c r="E11" s="270">
        <f>'Z_6.4.sz.mell'!E11</f>
        <v>0</v>
      </c>
    </row>
    <row r="12" spans="1:5" s="155" customFormat="1" ht="12" customHeight="1" x14ac:dyDescent="0.2">
      <c r="A12" s="213" t="s">
        <v>66</v>
      </c>
      <c r="B12" s="6" t="s">
        <v>186</v>
      </c>
      <c r="C12" s="119">
        <f>'Z_6.4.sz.mell'!C12</f>
        <v>0</v>
      </c>
      <c r="D12" s="265">
        <f>'Z_6.4.sz.mell'!D12</f>
        <v>0</v>
      </c>
      <c r="E12" s="270">
        <f>'Z_6.4.sz.mell'!E12</f>
        <v>0</v>
      </c>
    </row>
    <row r="13" spans="1:5" s="155" customFormat="1" ht="12" customHeight="1" x14ac:dyDescent="0.2">
      <c r="A13" s="213" t="s">
        <v>96</v>
      </c>
      <c r="B13" s="6" t="s">
        <v>187</v>
      </c>
      <c r="C13" s="119">
        <f>'Z_6.4.sz.mell'!C13</f>
        <v>0</v>
      </c>
      <c r="D13" s="265">
        <f>'Z_6.4.sz.mell'!D13</f>
        <v>2700000</v>
      </c>
      <c r="E13" s="270">
        <f>'Z_6.4.sz.mell'!E13</f>
        <v>2083000</v>
      </c>
    </row>
    <row r="14" spans="1:5" s="155" customFormat="1" ht="12" customHeight="1" x14ac:dyDescent="0.2">
      <c r="A14" s="213" t="s">
        <v>67</v>
      </c>
      <c r="B14" s="6" t="s">
        <v>304</v>
      </c>
      <c r="C14" s="119">
        <f>'Z_6.4.sz.mell'!C14</f>
        <v>807874</v>
      </c>
      <c r="D14" s="265">
        <f>'Z_6.4.sz.mell'!D14</f>
        <v>0</v>
      </c>
      <c r="E14" s="270">
        <f>'Z_6.4.sz.mell'!E14</f>
        <v>0</v>
      </c>
    </row>
    <row r="15" spans="1:5" s="155" customFormat="1" ht="12" customHeight="1" x14ac:dyDescent="0.2">
      <c r="A15" s="213" t="s">
        <v>68</v>
      </c>
      <c r="B15" s="5" t="s">
        <v>305</v>
      </c>
      <c r="C15" s="119">
        <f>'Z_6.4.sz.mell'!C15</f>
        <v>0</v>
      </c>
      <c r="D15" s="265">
        <f>'Z_6.4.sz.mell'!D15</f>
        <v>0</v>
      </c>
      <c r="E15" s="270">
        <f>'Z_6.4.sz.mell'!E15</f>
        <v>0</v>
      </c>
    </row>
    <row r="16" spans="1:5" s="155" customFormat="1" ht="12" customHeight="1" x14ac:dyDescent="0.2">
      <c r="A16" s="213" t="s">
        <v>76</v>
      </c>
      <c r="B16" s="6" t="s">
        <v>190</v>
      </c>
      <c r="C16" s="276">
        <f>'Z_6.4.sz.mell'!C16</f>
        <v>0</v>
      </c>
      <c r="D16" s="303">
        <f>'Z_6.4.sz.mell'!D16</f>
        <v>0</v>
      </c>
      <c r="E16" s="274">
        <f>'Z_6.4.sz.mell'!E16</f>
        <v>0</v>
      </c>
    </row>
    <row r="17" spans="1:5" s="220" customFormat="1" ht="12" customHeight="1" x14ac:dyDescent="0.2">
      <c r="A17" s="213" t="s">
        <v>77</v>
      </c>
      <c r="B17" s="6" t="s">
        <v>191</v>
      </c>
      <c r="C17" s="119">
        <f>'Z_6.4.sz.mell'!C17</f>
        <v>0</v>
      </c>
      <c r="D17" s="265">
        <f>'Z_6.4.sz.mell'!D17</f>
        <v>0</v>
      </c>
      <c r="E17" s="270">
        <f>'Z_6.4.sz.mell'!E17</f>
        <v>0</v>
      </c>
    </row>
    <row r="18" spans="1:5" s="220" customFormat="1" ht="12" customHeight="1" x14ac:dyDescent="0.2">
      <c r="A18" s="213" t="s">
        <v>78</v>
      </c>
      <c r="B18" s="6" t="s">
        <v>337</v>
      </c>
      <c r="C18" s="121">
        <f>'Z_6.4.sz.mell'!C18</f>
        <v>0</v>
      </c>
      <c r="D18" s="266">
        <f>'Z_6.4.sz.mell'!D18</f>
        <v>0</v>
      </c>
      <c r="E18" s="271">
        <f>'Z_6.4.sz.mell'!E18</f>
        <v>0</v>
      </c>
    </row>
    <row r="19" spans="1:5" s="220" customFormat="1" ht="12" customHeight="1" thickBot="1" x14ac:dyDescent="0.25">
      <c r="A19" s="213" t="s">
        <v>79</v>
      </c>
      <c r="B19" s="5" t="s">
        <v>192</v>
      </c>
      <c r="C19" s="121">
        <f>'Z_6.4.sz.mell'!C19</f>
        <v>0</v>
      </c>
      <c r="D19" s="266">
        <f>'Z_6.4.sz.mell'!D19</f>
        <v>50000</v>
      </c>
      <c r="E19" s="271">
        <f>'Z_6.4.sz.mell'!E19</f>
        <v>2792</v>
      </c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'Z_6.4.sz.mell'!C20</f>
        <v>0</v>
      </c>
      <c r="D20" s="267">
        <f>'Z_6.4.sz.mell'!D20</f>
        <v>0</v>
      </c>
      <c r="E20" s="150">
        <f>'Z_6.4.sz.mell'!E20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>
        <f>'Z_6.4.sz.mell'!C21</f>
        <v>0</v>
      </c>
      <c r="D21" s="265">
        <f>'Z_6.4.sz.mell'!D21</f>
        <v>0</v>
      </c>
      <c r="E21" s="270">
        <f>'Z_6.4.sz.mell'!E21</f>
        <v>0</v>
      </c>
    </row>
    <row r="22" spans="1:5" s="220" customFormat="1" ht="12" customHeight="1" x14ac:dyDescent="0.2">
      <c r="A22" s="213" t="s">
        <v>70</v>
      </c>
      <c r="B22" s="6" t="s">
        <v>307</v>
      </c>
      <c r="C22" s="119">
        <f>'Z_6.4.sz.mell'!C22</f>
        <v>0</v>
      </c>
      <c r="D22" s="265">
        <f>'Z_6.4.sz.mell'!D22</f>
        <v>0</v>
      </c>
      <c r="E22" s="270">
        <f>'Z_6.4.sz.mell'!E22</f>
        <v>0</v>
      </c>
    </row>
    <row r="23" spans="1:5" s="220" customFormat="1" ht="12" customHeight="1" x14ac:dyDescent="0.2">
      <c r="A23" s="213" t="s">
        <v>71</v>
      </c>
      <c r="B23" s="6" t="s">
        <v>308</v>
      </c>
      <c r="C23" s="119">
        <f>'Z_6.4.sz.mell'!C23</f>
        <v>0</v>
      </c>
      <c r="D23" s="265">
        <f>'Z_6.4.sz.mell'!D23</f>
        <v>0</v>
      </c>
      <c r="E23" s="270">
        <f>'Z_6.4.sz.mell'!E23</f>
        <v>0</v>
      </c>
    </row>
    <row r="24" spans="1:5" s="220" customFormat="1" ht="12" customHeight="1" thickBot="1" x14ac:dyDescent="0.25">
      <c r="A24" s="213" t="s">
        <v>72</v>
      </c>
      <c r="B24" s="6" t="s">
        <v>411</v>
      </c>
      <c r="C24" s="119">
        <f>'Z_6.4.sz.mell'!C24</f>
        <v>0</v>
      </c>
      <c r="D24" s="265">
        <f>'Z_6.4.sz.mell'!D24</f>
        <v>0</v>
      </c>
      <c r="E24" s="270">
        <f>'Z_6.4.sz.mell'!E24</f>
        <v>0</v>
      </c>
    </row>
    <row r="25" spans="1:5" s="220" customFormat="1" ht="12" customHeight="1" thickBot="1" x14ac:dyDescent="0.25">
      <c r="A25" s="81" t="s">
        <v>8</v>
      </c>
      <c r="B25" s="59" t="s">
        <v>112</v>
      </c>
      <c r="C25" s="300">
        <f>'Z_6.4.sz.mell'!C25</f>
        <v>0</v>
      </c>
      <c r="D25" s="302">
        <f>'Z_6.4.sz.mell'!D25</f>
        <v>0</v>
      </c>
      <c r="E25" s="149">
        <f>'Z_6.4.sz.mell'!E25</f>
        <v>0</v>
      </c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'Z_6.4.sz.mell'!C26</f>
        <v>0</v>
      </c>
      <c r="D26" s="267">
        <f>'Z_6.4.sz.mell'!D26</f>
        <v>0</v>
      </c>
      <c r="E26" s="150">
        <f>'Z_6.4.sz.mell'!E26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>
        <f>'Z_6.4.sz.mell'!C27</f>
        <v>0</v>
      </c>
      <c r="D27" s="61">
        <f>'Z_6.4.sz.mell'!D27</f>
        <v>0</v>
      </c>
      <c r="E27" s="275">
        <f>'Z_6.4.sz.mell'!E27</f>
        <v>0</v>
      </c>
    </row>
    <row r="28" spans="1:5" s="220" customFormat="1" ht="12" customHeight="1" x14ac:dyDescent="0.2">
      <c r="A28" s="214" t="s">
        <v>177</v>
      </c>
      <c r="B28" s="216" t="s">
        <v>310</v>
      </c>
      <c r="C28" s="123">
        <f>'Z_6.4.sz.mell'!C28</f>
        <v>0</v>
      </c>
      <c r="D28" s="268">
        <f>'Z_6.4.sz.mell'!D28</f>
        <v>0</v>
      </c>
      <c r="E28" s="272">
        <f>'Z_6.4.sz.mell'!E28</f>
        <v>0</v>
      </c>
    </row>
    <row r="29" spans="1:5" s="220" customFormat="1" ht="12" customHeight="1" thickBot="1" x14ac:dyDescent="0.25">
      <c r="A29" s="213" t="s">
        <v>178</v>
      </c>
      <c r="B29" s="64" t="s">
        <v>412</v>
      </c>
      <c r="C29" s="50">
        <f>'Z_6.4.sz.mell'!C29</f>
        <v>0</v>
      </c>
      <c r="D29" s="304">
        <f>'Z_6.4.sz.mell'!D29</f>
        <v>0</v>
      </c>
      <c r="E29" s="299">
        <f>'Z_6.4.sz.mell'!E29</f>
        <v>0</v>
      </c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'Z_6.4.sz.mell'!C30</f>
        <v>0</v>
      </c>
      <c r="D30" s="267">
        <f>'Z_6.4.sz.mell'!D30</f>
        <v>0</v>
      </c>
      <c r="E30" s="150">
        <f>'Z_6.4.sz.mell'!E30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>
        <f>'Z_6.4.sz.mell'!C31</f>
        <v>0</v>
      </c>
      <c r="D31" s="61">
        <f>'Z_6.4.sz.mell'!D31</f>
        <v>0</v>
      </c>
      <c r="E31" s="275">
        <f>'Z_6.4.sz.mell'!E31</f>
        <v>0</v>
      </c>
    </row>
    <row r="32" spans="1:5" s="220" customFormat="1" ht="12" customHeight="1" x14ac:dyDescent="0.2">
      <c r="A32" s="214" t="s">
        <v>57</v>
      </c>
      <c r="B32" s="216" t="s">
        <v>198</v>
      </c>
      <c r="C32" s="123">
        <f>'Z_6.4.sz.mell'!C32</f>
        <v>0</v>
      </c>
      <c r="D32" s="268">
        <f>'Z_6.4.sz.mell'!D32</f>
        <v>0</v>
      </c>
      <c r="E32" s="272">
        <f>'Z_6.4.sz.mell'!E32</f>
        <v>0</v>
      </c>
    </row>
    <row r="33" spans="1:5" s="220" customFormat="1" ht="12" customHeight="1" thickBot="1" x14ac:dyDescent="0.25">
      <c r="A33" s="213" t="s">
        <v>58</v>
      </c>
      <c r="B33" s="64" t="s">
        <v>199</v>
      </c>
      <c r="C33" s="50">
        <f>'Z_6.4.sz.mell'!C33</f>
        <v>0</v>
      </c>
      <c r="D33" s="304">
        <f>'Z_6.4.sz.mell'!D33</f>
        <v>0</v>
      </c>
      <c r="E33" s="299">
        <f>'Z_6.4.sz.mell'!E33</f>
        <v>0</v>
      </c>
    </row>
    <row r="34" spans="1:5" s="155" customFormat="1" ht="12" customHeight="1" thickBot="1" x14ac:dyDescent="0.25">
      <c r="A34" s="81" t="s">
        <v>11</v>
      </c>
      <c r="B34" s="59" t="s">
        <v>282</v>
      </c>
      <c r="C34" s="300">
        <f>'Z_6.4.sz.mell'!C34</f>
        <v>0</v>
      </c>
      <c r="D34" s="302">
        <f>'Z_6.4.sz.mell'!D34</f>
        <v>0</v>
      </c>
      <c r="E34" s="149">
        <f>'Z_6.4.sz.mell'!E34</f>
        <v>150000</v>
      </c>
    </row>
    <row r="35" spans="1:5" s="155" customFormat="1" ht="12" customHeight="1" thickBot="1" x14ac:dyDescent="0.25">
      <c r="A35" s="81" t="s">
        <v>12</v>
      </c>
      <c r="B35" s="59" t="s">
        <v>312</v>
      </c>
      <c r="C35" s="300">
        <f>'Z_6.4.sz.mell'!C35</f>
        <v>0</v>
      </c>
      <c r="D35" s="302">
        <f>'Z_6.4.sz.mell'!D35</f>
        <v>0</v>
      </c>
      <c r="E35" s="149">
        <f>'Z_6.4.sz.mell'!E35</f>
        <v>0</v>
      </c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'Z_6.4.sz.mell'!C36</f>
        <v>3800000</v>
      </c>
      <c r="D36" s="267">
        <f>'Z_6.4.sz.mell'!D36</f>
        <v>2750000</v>
      </c>
      <c r="E36" s="150">
        <f>'Z_6.4.sz.mell'!E36</f>
        <v>2235792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'Z_6.4.sz.mell'!C37</f>
        <v>36536781</v>
      </c>
      <c r="D37" s="267">
        <f>'Z_6.4.sz.mell'!D37</f>
        <v>42034481</v>
      </c>
      <c r="E37" s="150">
        <f>'Z_6.4.sz.mell'!E37</f>
        <v>37587205</v>
      </c>
    </row>
    <row r="38" spans="1:5" s="155" customFormat="1" ht="12" customHeight="1" x14ac:dyDescent="0.2">
      <c r="A38" s="214" t="s">
        <v>315</v>
      </c>
      <c r="B38" s="215" t="s">
        <v>149</v>
      </c>
      <c r="C38" s="277">
        <f>'Z_6.4.sz.mell'!C38</f>
        <v>383696</v>
      </c>
      <c r="D38" s="61">
        <f>'Z_6.4.sz.mell'!D38</f>
        <v>383696</v>
      </c>
      <c r="E38" s="275">
        <f>'Z_6.4.sz.mell'!E38</f>
        <v>383696</v>
      </c>
    </row>
    <row r="39" spans="1:5" s="155" customFormat="1" ht="12" customHeight="1" x14ac:dyDescent="0.2">
      <c r="A39" s="214" t="s">
        <v>316</v>
      </c>
      <c r="B39" s="216" t="s">
        <v>0</v>
      </c>
      <c r="C39" s="123">
        <f>'Z_6.4.sz.mell'!C39</f>
        <v>0</v>
      </c>
      <c r="D39" s="268">
        <f>'Z_6.4.sz.mell'!D39</f>
        <v>0</v>
      </c>
      <c r="E39" s="272">
        <f>'Z_6.4.sz.mell'!E39</f>
        <v>0</v>
      </c>
    </row>
    <row r="40" spans="1:5" s="220" customFormat="1" ht="12" customHeight="1" thickBot="1" x14ac:dyDescent="0.25">
      <c r="A40" s="213" t="s">
        <v>317</v>
      </c>
      <c r="B40" s="64" t="s">
        <v>318</v>
      </c>
      <c r="C40" s="50">
        <f>'Z_6.4.sz.mell'!C40</f>
        <v>36153085</v>
      </c>
      <c r="D40" s="304">
        <f>'Z_6.4.sz.mell'!D40</f>
        <v>41650785</v>
      </c>
      <c r="E40" s="299">
        <f>'Z_6.4.sz.mell'!E40</f>
        <v>37203509</v>
      </c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'Z_6.4.sz.mell'!C41</f>
        <v>40336781</v>
      </c>
      <c r="D41" s="297">
        <f>'Z_6.4.sz.mell'!D41</f>
        <v>44784481</v>
      </c>
      <c r="E41" s="153">
        <f>'Z_6.4.sz.mell'!E41</f>
        <v>39822997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39054081</v>
      </c>
      <c r="D45" s="267">
        <f>SUM(D46:D50)</f>
        <v>43501781</v>
      </c>
      <c r="E45" s="150">
        <f>SUM(E46:E50)</f>
        <v>38840117</v>
      </c>
    </row>
    <row r="46" spans="1:5" ht="12" customHeight="1" x14ac:dyDescent="0.2">
      <c r="A46" s="213" t="s">
        <v>63</v>
      </c>
      <c r="B46" s="7" t="s">
        <v>35</v>
      </c>
      <c r="C46" s="277">
        <f>'Z_6.4.sz.mell'!C46</f>
        <v>29943670</v>
      </c>
      <c r="D46" s="61">
        <f>'Z_6.4.sz.mell'!D46</f>
        <v>32061883</v>
      </c>
      <c r="E46" s="275">
        <f>'Z_6.4.sz.mell'!E46</f>
        <v>29179385</v>
      </c>
    </row>
    <row r="47" spans="1:5" ht="12" customHeight="1" x14ac:dyDescent="0.2">
      <c r="A47" s="213" t="s">
        <v>64</v>
      </c>
      <c r="B47" s="6" t="s">
        <v>121</v>
      </c>
      <c r="C47" s="49">
        <f>'Z_6.4.sz.mell'!C47</f>
        <v>4735261</v>
      </c>
      <c r="D47" s="62">
        <f>'Z_6.4.sz.mell'!D47</f>
        <v>4819898</v>
      </c>
      <c r="E47" s="273">
        <f>'Z_6.4.sz.mell'!E47</f>
        <v>4519455</v>
      </c>
    </row>
    <row r="48" spans="1:5" ht="12" customHeight="1" x14ac:dyDescent="0.2">
      <c r="A48" s="213" t="s">
        <v>65</v>
      </c>
      <c r="B48" s="6" t="s">
        <v>89</v>
      </c>
      <c r="C48" s="49">
        <f>'Z_6.4.sz.mell'!C48</f>
        <v>4375150</v>
      </c>
      <c r="D48" s="62">
        <f>'Z_6.4.sz.mell'!D48</f>
        <v>6620000</v>
      </c>
      <c r="E48" s="273">
        <f>'Z_6.4.sz.mell'!E48</f>
        <v>5141277</v>
      </c>
    </row>
    <row r="49" spans="1:5" ht="12" customHeight="1" x14ac:dyDescent="0.2">
      <c r="A49" s="213" t="s">
        <v>66</v>
      </c>
      <c r="B49" s="6" t="s">
        <v>122</v>
      </c>
      <c r="C49" s="49">
        <f>'Z_6.4.sz.mell'!C49</f>
        <v>0</v>
      </c>
      <c r="D49" s="62">
        <f>'Z_6.4.sz.mell'!D49</f>
        <v>0</v>
      </c>
      <c r="E49" s="273">
        <f>'Z_6.4.sz.mell'!E49</f>
        <v>0</v>
      </c>
    </row>
    <row r="50" spans="1:5" ht="12" customHeight="1" thickBot="1" x14ac:dyDescent="0.25">
      <c r="A50" s="213" t="s">
        <v>96</v>
      </c>
      <c r="B50" s="6" t="s">
        <v>123</v>
      </c>
      <c r="C50" s="49">
        <f>'Z_6.4.sz.mell'!C50</f>
        <v>0</v>
      </c>
      <c r="D50" s="62">
        <f>'Z_6.4.sz.mell'!D50</f>
        <v>0</v>
      </c>
      <c r="E50" s="273">
        <f>'Z_6.4.sz.mell'!E50</f>
        <v>0</v>
      </c>
    </row>
    <row r="51" spans="1:5" ht="12" customHeight="1" thickBot="1" x14ac:dyDescent="0.25">
      <c r="A51" s="81" t="s">
        <v>7</v>
      </c>
      <c r="B51" s="59" t="s">
        <v>321</v>
      </c>
      <c r="C51" s="122">
        <f>'Z_6.4.sz.mell'!C51</f>
        <v>1282700</v>
      </c>
      <c r="D51" s="267">
        <f>'Z_6.4.sz.mell'!D51</f>
        <v>1282700</v>
      </c>
      <c r="E51" s="150">
        <f>'Z_6.4.sz.mell'!E51</f>
        <v>730011</v>
      </c>
    </row>
    <row r="52" spans="1:5" s="221" customFormat="1" ht="12" customHeight="1" x14ac:dyDescent="0.2">
      <c r="A52" s="213" t="s">
        <v>69</v>
      </c>
      <c r="B52" s="7" t="s">
        <v>142</v>
      </c>
      <c r="C52" s="277">
        <f>'Z_6.4.sz.mell'!C52</f>
        <v>1282700</v>
      </c>
      <c r="D52" s="61">
        <f>'Z_6.4.sz.mell'!D52</f>
        <v>1282700</v>
      </c>
      <c r="E52" s="275">
        <f>'Z_6.4.sz.mell'!E52</f>
        <v>730011</v>
      </c>
    </row>
    <row r="53" spans="1:5" ht="12" customHeight="1" x14ac:dyDescent="0.2">
      <c r="A53" s="213" t="s">
        <v>70</v>
      </c>
      <c r="B53" s="6" t="s">
        <v>125</v>
      </c>
      <c r="C53" s="49">
        <f>'Z_6.4.sz.mell'!C53</f>
        <v>0</v>
      </c>
      <c r="D53" s="62">
        <f>'Z_6.4.sz.mell'!D53</f>
        <v>0</v>
      </c>
      <c r="E53" s="273">
        <f>'Z_6.4.sz.mell'!E53</f>
        <v>0</v>
      </c>
    </row>
    <row r="54" spans="1:5" ht="12" customHeight="1" x14ac:dyDescent="0.2">
      <c r="A54" s="213" t="s">
        <v>71</v>
      </c>
      <c r="B54" s="6" t="s">
        <v>41</v>
      </c>
      <c r="C54" s="49">
        <f>'Z_6.4.sz.mell'!C54</f>
        <v>0</v>
      </c>
      <c r="D54" s="62">
        <f>'Z_6.4.sz.mell'!D54</f>
        <v>0</v>
      </c>
      <c r="E54" s="273">
        <f>'Z_6.4.sz.mell'!E54</f>
        <v>0</v>
      </c>
    </row>
    <row r="55" spans="1:5" ht="12" customHeight="1" thickBot="1" x14ac:dyDescent="0.25">
      <c r="A55" s="213" t="s">
        <v>72</v>
      </c>
      <c r="B55" s="6" t="s">
        <v>410</v>
      </c>
      <c r="C55" s="49">
        <f>'Z_6.4.sz.mell'!C55</f>
        <v>0</v>
      </c>
      <c r="D55" s="62">
        <f>'Z_6.4.sz.mell'!D55</f>
        <v>0</v>
      </c>
      <c r="E55" s="273">
        <f>'Z_6.4.sz.mell'!E55</f>
        <v>0</v>
      </c>
    </row>
    <row r="56" spans="1:5" ht="15.2" customHeight="1" thickBot="1" x14ac:dyDescent="0.25">
      <c r="A56" s="81" t="s">
        <v>8</v>
      </c>
      <c r="B56" s="59" t="s">
        <v>2</v>
      </c>
      <c r="C56" s="300">
        <f>'Z_6.4.sz.mell'!C56</f>
        <v>0</v>
      </c>
      <c r="D56" s="302">
        <f>'Z_6.4.sz.mell'!D56</f>
        <v>0</v>
      </c>
      <c r="E56" s="149">
        <f>'Z_6.4.sz.mell'!E56</f>
        <v>0</v>
      </c>
    </row>
    <row r="57" spans="1:5" ht="13.5" thickBot="1" x14ac:dyDescent="0.25">
      <c r="A57" s="81" t="s">
        <v>9</v>
      </c>
      <c r="B57" s="93" t="s">
        <v>414</v>
      </c>
      <c r="C57" s="301">
        <f>+C45+C51+C56</f>
        <v>40336781</v>
      </c>
      <c r="D57" s="297">
        <f>+D45+D51+D56</f>
        <v>44784481</v>
      </c>
      <c r="E57" s="153">
        <f>+E45+E51+E56</f>
        <v>39570128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>
        <f>'Z_6.4.sz.mell'!C59</f>
        <v>8</v>
      </c>
      <c r="D59" s="295">
        <f>'Z_6.4.sz.mell'!D59</f>
        <v>8</v>
      </c>
      <c r="E59" s="294">
        <f>'Z_6.4.sz.mell'!E59</f>
        <v>8</v>
      </c>
    </row>
    <row r="60" spans="1:5" ht="13.5" thickBot="1" x14ac:dyDescent="0.25">
      <c r="A60" s="307" t="s">
        <v>485</v>
      </c>
      <c r="B60" s="308"/>
      <c r="C60" s="295">
        <f>'Z_6.4.sz.mell'!C60</f>
        <v>0</v>
      </c>
      <c r="D60" s="295">
        <f>'Z_6.4.sz.mell'!D60</f>
        <v>0</v>
      </c>
      <c r="E60" s="294">
        <f>'Z_6.4.sz.mell'!E60</f>
        <v>0</v>
      </c>
    </row>
  </sheetData>
  <sheetProtection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3A6E-AE79-4034-9F45-5F52E4C139AB}">
  <sheetPr>
    <tabColor theme="0" tint="-0.499984740745262"/>
  </sheetPr>
  <dimension ref="A1:E60"/>
  <sheetViews>
    <sheetView zoomScale="120" zoomScaleNormal="120" workbookViewId="0">
      <selection activeCell="A28" sqref="A2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CONCATENATE(Z_ALAPADATOK!M15,"2. melléklet ",Z_ALAPADATOK!A7," ",Z_ALAPADATOK!B7," ",Z_ALAPADATOK!C7," ",Z_ALAPADATOK!D7," ",Z_ALAPADATOK!E7," ",Z_ALAPADATOK!F7," ",Z_ALAPADATOK!G7," ",Z_ALAPADATOK!H7)</f>
        <v>6.4.2.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CONCATENATE('Z_6.4.1.sz.mell'!B2:D2)</f>
        <v>Sajószögedi Zöld Sziget Bölcsőde</v>
      </c>
      <c r="C2" s="869"/>
      <c r="D2" s="870"/>
      <c r="E2" s="329" t="s">
        <v>332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'Z_6.4.1.sz.mell'!E4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CONCATENATE('Z_6.4.1.sz.mell'!E5)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3514-6E14-485C-9940-36E992398C70}">
  <sheetPr>
    <tabColor theme="0" tint="-0.499984740745262"/>
  </sheetPr>
  <dimension ref="A1:E60"/>
  <sheetViews>
    <sheetView zoomScale="120" zoomScaleNormal="120" workbookViewId="0">
      <selection activeCell="A28" sqref="A2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CONCATENATE(Z_ALAPADATOK!M15,"3. melléklet ",Z_ALAPADATOK!A7," ",Z_ALAPADATOK!B7," ",Z_ALAPADATOK!C7," ",Z_ALAPADATOK!D7," ",Z_ALAPADATOK!E7," ",Z_ALAPADATOK!F7," ",Z_ALAPADATOK!G7," ",Z_ALAPADATOK!H7)</f>
        <v>6.4.3.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CONCATENATE('Z_6.4.2.sz.mell'!B2:D2)</f>
        <v>Sajószögedi Zöld Sziget Bölcsőde</v>
      </c>
      <c r="C2" s="869"/>
      <c r="D2" s="870"/>
      <c r="E2" s="329" t="s">
        <v>332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'Z_6.4.2.sz.mell'!E4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CONCATENATE('Z_6.4.2.sz.mell'!E5)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87AEF-5A66-46BB-9D6F-D10A36BE52C6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CONCATENATE(Z_ALAPADATOK!M17," melléklet ",Z_ALAPADATOK!A7," ",Z_ALAPADATOK!B7," ",Z_ALAPADATOK!C7," ",Z_ALAPADATOK!D7," ",Z_ALAPADATOK!E7," ",Z_ALAPADATOK!F7," ",Z_ALAPADATOK!G7," ",Z_ALAPADATOK!H7)</f>
        <v>6.5. melléklet a … / 2022. ( … ) önkormányzati rendelethez</v>
      </c>
      <c r="C1" s="867"/>
      <c r="D1" s="867"/>
      <c r="E1" s="867"/>
    </row>
    <row r="2" spans="1:5" s="217" customFormat="1" ht="25.5" customHeight="1" thickBot="1" x14ac:dyDescent="0.25">
      <c r="A2" s="328" t="s">
        <v>452</v>
      </c>
      <c r="B2" s="868" t="str">
        <f>CONCATENATE(Z_ALAPADATOK!B17)</f>
        <v>3 kvi név</v>
      </c>
      <c r="C2" s="869"/>
      <c r="D2" s="870"/>
      <c r="E2" s="329" t="s">
        <v>511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CONCATENATE('Z_6.4.3.sz.mell'!E5)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2507-6BFA-4906-BE9A-449B89A3A0AC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CONCATENATE(Z_ALAPADATOK!M17,"1. melléklet ",Z_ALAPADATOK!A7," ",Z_ALAPADATOK!B7," ",Z_ALAPADATOK!C7," ",Z_ALAPADATOK!D7," ",Z_ALAPADATOK!E7," ",Z_ALAPADATOK!F7," ",Z_ALAPADATOK!G7," ",Z_ALAPADATOK!H7)</f>
        <v>6.5.1.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CONCATENATE('Z_6.5.sz.mell'!B2:D2)</f>
        <v>3 kvi név</v>
      </c>
      <c r="C2" s="869"/>
      <c r="D2" s="870"/>
      <c r="E2" s="329" t="s">
        <v>511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'Z_6.5.sz.mell'!E4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CONCATENATE('Z_6.5.sz.mell'!E5)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B00C-6D6A-4140-A86D-5F1E2DEA1D23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CONCATENATE(Z_ALAPADATOK!M17,"2. melléklet ",Z_ALAPADATOK!A7," ",Z_ALAPADATOK!B7," ",Z_ALAPADATOK!C7," ",Z_ALAPADATOK!D7," ",Z_ALAPADATOK!E7," ",Z_ALAPADATOK!F7," ",Z_ALAPADATOK!G7," ",Z_ALAPADATOK!H7)</f>
        <v>6.5.2.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CONCATENATE('Z_6.5.1.sz.mell'!B2:D2)</f>
        <v>3 kvi név</v>
      </c>
      <c r="C2" s="869"/>
      <c r="D2" s="870"/>
      <c r="E2" s="329" t="s">
        <v>511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'Z_6.5.1.sz.mell'!E4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CONCATENATE('Z_6.5.1.sz.mell'!E5)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91D9-AA2E-4D6C-8359-BE0B01724178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CONCATENATE(Z_ALAPADATOK!M17,"3. melléklet ",Z_ALAPADATOK!A7," ",Z_ALAPADATOK!B7," ",Z_ALAPADATOK!C7," ",Z_ALAPADATOK!D7," ",Z_ALAPADATOK!E7," ",Z_ALAPADATOK!F7," ",Z_ALAPADATOK!G7," ",Z_ALAPADATOK!H7)</f>
        <v>6.5.3.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CONCATENATE('Z_6.5.2.sz.mell'!B2:D2)</f>
        <v>3 kvi név</v>
      </c>
      <c r="C2" s="869"/>
      <c r="D2" s="870"/>
      <c r="E2" s="329" t="s">
        <v>511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'Z_6.5.2.sz.mell'!E4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CONCATENATE('Z_6.5.2.sz.mell'!E5)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A94DC-1CD8-4462-8169-5157B2F95177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CONCATENATE(Z_ALAPADATOK!M19," melléklet ",Z_ALAPADATOK!A7," ",Z_ALAPADATOK!B7," ",Z_ALAPADATOK!C7," ",Z_ALAPADATOK!D7," ",Z_ALAPADATOK!E7," ",Z_ALAPADATOK!F7," ",Z_ALAPADATOK!G7," ",Z_ALAPADATOK!H7)</f>
        <v>6.6. melléklet a … / 2022. ( … ) önkormányzati rendelethez</v>
      </c>
      <c r="C1" s="867"/>
      <c r="D1" s="867"/>
      <c r="E1" s="867"/>
    </row>
    <row r="2" spans="1:5" s="217" customFormat="1" ht="25.5" customHeight="1" thickBot="1" x14ac:dyDescent="0.25">
      <c r="A2" s="328" t="s">
        <v>452</v>
      </c>
      <c r="B2" s="868" t="str">
        <f>CONCATENATE(Z_ALAPADATOK!B19)</f>
        <v>4 kvi név</v>
      </c>
      <c r="C2" s="869"/>
      <c r="D2" s="870"/>
      <c r="E2" s="329" t="s">
        <v>512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CONCATENATE('Z_6.5.3.sz.mell'!E5)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859F-7A78-4988-AF47-F056D885B213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CONCATENATE(Z_ALAPADATOK!M19,"1. melléklet ",Z_ALAPADATOK!A7," ",Z_ALAPADATOK!B7," ",Z_ALAPADATOK!C7," ",Z_ALAPADATOK!D7," ",Z_ALAPADATOK!E7," ",Z_ALAPADATOK!F7," ",Z_ALAPADATOK!G7," ",Z_ALAPADATOK!H7)</f>
        <v>6.6.1.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CONCATENATE('Z_6.6.sz.mell'!B2:D2)</f>
        <v>4 kvi név</v>
      </c>
      <c r="C2" s="869"/>
      <c r="D2" s="870"/>
      <c r="E2" s="329" t="s">
        <v>512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'Z_6.6.sz.mell'!E4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CONCATENATE('Z_6.6.sz.mell'!E5)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BF36-D551-41C9-8AEC-2744FCD7135B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CONCATENATE(Z_ALAPADATOK!M19,"2. melléklet ",Z_ALAPADATOK!A7," ",Z_ALAPADATOK!B7," ",Z_ALAPADATOK!C7," ",Z_ALAPADATOK!D7," ",Z_ALAPADATOK!E7," ",Z_ALAPADATOK!F7," ",Z_ALAPADATOK!G7," ",Z_ALAPADATOK!H7)</f>
        <v>6.6.2.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CONCATENATE('Z_6.6.1.sz.mell'!B2:D2)</f>
        <v>4 kvi név</v>
      </c>
      <c r="C2" s="869"/>
      <c r="D2" s="870"/>
      <c r="E2" s="329" t="s">
        <v>512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'Z_6.6.1.sz.mell'!E4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CONCATENATE('Z_6.6.1.sz.mell'!E5)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6766-0676-479B-BB96-65FF99F380AD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CONCATENATE(Z_ALAPADATOK!M19,"3. melléklet ",Z_ALAPADATOK!A7," ",Z_ALAPADATOK!B7," ",Z_ALAPADATOK!C7," ",Z_ALAPADATOK!D7," ",Z_ALAPADATOK!E7," ",Z_ALAPADATOK!F7," ",Z_ALAPADATOK!G7," ",Z_ALAPADATOK!H7)</f>
        <v>6.6.3.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CONCATENATE('Z_6.6.2.sz.mell'!B2:D2)</f>
        <v>4 kvi név</v>
      </c>
      <c r="C2" s="869"/>
      <c r="D2" s="870"/>
      <c r="E2" s="329" t="s">
        <v>512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'Z_6.6.2.sz.mell'!E4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CONCATENATE('Z_6.6.2.sz.mell'!E5)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4DA7-5234-4FBD-A48D-2F106A0096A7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CONCATENATE(Z_ALAPADATOK!M21," melléklet ",Z_ALAPADATOK!A7," ",Z_ALAPADATOK!B7," ",Z_ALAPADATOK!C7," ",Z_ALAPADATOK!D7," ",Z_ALAPADATOK!E7," ",Z_ALAPADATOK!F7," ",Z_ALAPADATOK!G7," ",Z_ALAPADATOK!H7)</f>
        <v>6.7. melléklet a … / 2022. ( … ) önkormányzati rendelethez</v>
      </c>
      <c r="C1" s="867"/>
      <c r="D1" s="867"/>
      <c r="E1" s="867"/>
    </row>
    <row r="2" spans="1:5" s="217" customFormat="1" ht="25.5" customHeight="1" thickBot="1" x14ac:dyDescent="0.25">
      <c r="A2" s="328" t="s">
        <v>452</v>
      </c>
      <c r="B2" s="868" t="str">
        <f>CONCATENATE(Z_ALAPADATOK!B21)</f>
        <v>5 kvi név</v>
      </c>
      <c r="C2" s="869"/>
      <c r="D2" s="870"/>
      <c r="E2" s="329" t="s">
        <v>513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CONCATENATE('Z_6.6.3.sz.mell'!E5)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B031-20A2-42D0-B118-FA03001F1BF8}">
  <sheetPr>
    <tabColor rgb="FF92D050"/>
  </sheetPr>
  <dimension ref="A1:E60"/>
  <sheetViews>
    <sheetView topLeftCell="A33"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CONCATENATE(Z_ALAPADATOK!M21,"1. melléklet ",Z_ALAPADATOK!A7," ",Z_ALAPADATOK!B7," ",Z_ALAPADATOK!C7," ",Z_ALAPADATOK!D7," ",Z_ALAPADATOK!E7," ",Z_ALAPADATOK!F7," ",Z_ALAPADATOK!G7," ",Z_ALAPADATOK!H7)</f>
        <v>6.7.1.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CONCATENATE('Z_6.7.sz.mell'!B2:D2)</f>
        <v>5 kvi név</v>
      </c>
      <c r="C2" s="869"/>
      <c r="D2" s="870"/>
      <c r="E2" s="329" t="s">
        <v>513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'Z_6.7.sz.mell'!E4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CONCATENATE('Z_6.7.sz.mell'!E5)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6088-A7FB-463D-8201-39EDFA3BA5CA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CONCATENATE(Z_ALAPADATOK!M21,"2. melléklet ",Z_ALAPADATOK!A7," ",Z_ALAPADATOK!B7," ",Z_ALAPADATOK!C7," ",Z_ALAPADATOK!D7," ",Z_ALAPADATOK!E7," ",Z_ALAPADATOK!F7," ",Z_ALAPADATOK!G7," ",Z_ALAPADATOK!H7)</f>
        <v>6.7.2.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CONCATENATE('Z_6.7.1.sz.mell'!B2:D2)</f>
        <v>5 kvi név</v>
      </c>
      <c r="C2" s="869"/>
      <c r="D2" s="870"/>
      <c r="E2" s="329" t="s">
        <v>513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'Z_6.7.1.sz.mell'!E4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CONCATENATE('Z_6.7.1.sz.mell'!E5)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7D50E-1560-40C7-8D54-695ACCE9DEFE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CONCATENATE(Z_ALAPADATOK!M21,"3. melléklet ",Z_ALAPADATOK!A7," ",Z_ALAPADATOK!B7," ",Z_ALAPADATOK!C7," ",Z_ALAPADATOK!D7," ",Z_ALAPADATOK!E7," ",Z_ALAPADATOK!F7," ",Z_ALAPADATOK!G7," ",Z_ALAPADATOK!H7)</f>
        <v>6.7.3.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CONCATENATE('Z_6.7.2.sz.mell'!B2:D2)</f>
        <v>5 kvi név</v>
      </c>
      <c r="C2" s="869"/>
      <c r="D2" s="870"/>
      <c r="E2" s="329" t="s">
        <v>513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'Z_6.7.2.sz.mell'!E4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CONCATENATE('Z_6.7.2.sz.mell'!E5)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F133C-3767-40C9-9878-C8B701D72173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CONCATENATE(Z_ALAPADATOK!M23," melléklet ",Z_ALAPADATOK!A7," ",Z_ALAPADATOK!B7," ",Z_ALAPADATOK!C7," ",Z_ALAPADATOK!D7," ",Z_ALAPADATOK!E7," ",Z_ALAPADATOK!F7," ",Z_ALAPADATOK!G7," ",Z_ALAPADATOK!H7)</f>
        <v>6.8. melléklet a … / 2022. ( … ) önkormányzati rendelethez</v>
      </c>
      <c r="C1" s="867"/>
      <c r="D1" s="867"/>
      <c r="E1" s="867"/>
    </row>
    <row r="2" spans="1:5" s="217" customFormat="1" ht="25.5" customHeight="1" thickBot="1" x14ac:dyDescent="0.25">
      <c r="A2" s="328" t="s">
        <v>452</v>
      </c>
      <c r="B2" s="868" t="str">
        <f>CONCATENATE(Z_ALAPADATOK!B23)</f>
        <v>6 kvi név</v>
      </c>
      <c r="C2" s="869"/>
      <c r="D2" s="870"/>
      <c r="E2" s="329" t="s">
        <v>514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CONCATENATE('Z_6.7.3.sz.mell'!E5)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1942B-C378-4F3C-94AE-AC6152F8D9BD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CONCATENATE(Z_ALAPADATOK!M23,"1. melléklet ",Z_ALAPADATOK!A7," ",Z_ALAPADATOK!B7," ",Z_ALAPADATOK!C7," ",Z_ALAPADATOK!D7," ",Z_ALAPADATOK!E7," ",Z_ALAPADATOK!F7," ",Z_ALAPADATOK!G7," ",Z_ALAPADATOK!H7)</f>
        <v>6.8.1.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CONCATENATE('Z_6.8.sz.mell'!B2:D2)</f>
        <v>6 kvi név</v>
      </c>
      <c r="C2" s="869"/>
      <c r="D2" s="870"/>
      <c r="E2" s="329" t="s">
        <v>514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'Z_6.8.sz.mell'!E4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CONCATENATE('Z_6.8.sz.mell'!E5)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78F9F-4DB1-4C07-A031-52AADCCBA4C4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CONCATENATE(Z_ALAPADATOK!M23,"2. melléklet ",Z_ALAPADATOK!A7," ",Z_ALAPADATOK!B7," ",Z_ALAPADATOK!C7," ",Z_ALAPADATOK!D7," ",Z_ALAPADATOK!E7," ",Z_ALAPADATOK!F7," ",Z_ALAPADATOK!G7," ",Z_ALAPADATOK!H7)</f>
        <v>6.8.2.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CONCATENATE('Z_6.8.1.sz.mell'!B2:D2)</f>
        <v>6 kvi név</v>
      </c>
      <c r="C2" s="869"/>
      <c r="D2" s="870"/>
      <c r="E2" s="329" t="s">
        <v>514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'Z_6.8.1.sz.mell'!E4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CONCATENATE('Z_6.8.1.sz.mell'!E5)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C5F1-F602-4681-8059-76DD074714BA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CONCATENATE(Z_ALAPADATOK!M23,"3. melléklet ",Z_ALAPADATOK!A7," ",Z_ALAPADATOK!B7," ",Z_ALAPADATOK!C7," ",Z_ALAPADATOK!D7," ",Z_ALAPADATOK!E7," ",Z_ALAPADATOK!F7," ",Z_ALAPADATOK!G7," ",Z_ALAPADATOK!H7)</f>
        <v>6.8.3.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CONCATENATE('Z_6.8.2.sz.mell'!B2:D2)</f>
        <v>6 kvi név</v>
      </c>
      <c r="C2" s="869"/>
      <c r="D2" s="870"/>
      <c r="E2" s="329" t="s">
        <v>514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'Z_6.8.2.sz.mell'!E4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CONCATENATE('Z_6.8.2.sz.mell'!E5)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7D00-90E5-41D9-9B28-378FE011116A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CONCATENATE(Z_ALAPADATOK!M25," melléklet ",Z_ALAPADATOK!A7," ",Z_ALAPADATOK!B7," ",Z_ALAPADATOK!C7," ",Z_ALAPADATOK!D7," ",Z_ALAPADATOK!E7," ",Z_ALAPADATOK!F7," ",Z_ALAPADATOK!G7," ",Z_ALAPADATOK!H7)</f>
        <v>6.9. melléklet a … / 2022. ( … ) önkormányzati rendelethez</v>
      </c>
      <c r="C1" s="867"/>
      <c r="D1" s="867"/>
      <c r="E1" s="867"/>
    </row>
    <row r="2" spans="1:5" s="217" customFormat="1" ht="25.5" customHeight="1" thickBot="1" x14ac:dyDescent="0.25">
      <c r="A2" s="328" t="s">
        <v>452</v>
      </c>
      <c r="B2" s="868" t="str">
        <f>CONCATENATE(Z_ALAPADATOK!B25)</f>
        <v>7 kvi név</v>
      </c>
      <c r="C2" s="869"/>
      <c r="D2" s="870"/>
      <c r="E2" s="329" t="s">
        <v>515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CONCATENATE('Z_6.8.3.sz.mell'!E5)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8B9A7-EF3C-4838-ACBB-1F91A3680D7B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CONCATENATE(Z_ALAPADATOK!M25,"1. melléklet ",Z_ALAPADATOK!A7," ",Z_ALAPADATOK!B7," ",Z_ALAPADATOK!C7," ",Z_ALAPADATOK!D7," ",Z_ALAPADATOK!E7," ",Z_ALAPADATOK!F7," ",Z_ALAPADATOK!G7," ",Z_ALAPADATOK!H7)</f>
        <v>6.9.1.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CONCATENATE('Z_6.9.sz.mell'!B2:D2)</f>
        <v>7 kvi név</v>
      </c>
      <c r="C2" s="869"/>
      <c r="D2" s="870"/>
      <c r="E2" s="329" t="s">
        <v>515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'Z_6.9.sz.mell'!E4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CONCATENATE('Z_6.9.sz.mell'!E5)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D3E8-0DEE-437C-9295-6554D2E94974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CONCATENATE(Z_ALAPADATOK!M25,"2. melléklet ",Z_ALAPADATOK!A7," ",Z_ALAPADATOK!B7," ",Z_ALAPADATOK!C7," ",Z_ALAPADATOK!D7," ",Z_ALAPADATOK!E7," ",Z_ALAPADATOK!F7," ",Z_ALAPADATOK!G7," ",Z_ALAPADATOK!H7)</f>
        <v>6.9.2.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CONCATENATE('Z_6.9.1.sz.mell'!B2:D2)</f>
        <v>7 kvi név</v>
      </c>
      <c r="C2" s="869"/>
      <c r="D2" s="870"/>
      <c r="E2" s="329" t="s">
        <v>515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'Z_6.9.1.sz.mell'!E4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CONCATENATE('Z_6.9.1.sz.mell'!E5)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BDCE-D2CC-42E9-AE6E-FA71B58EB473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CONCATENATE(Z_ALAPADATOK!M25,"3. melléklet ",Z_ALAPADATOK!A7," ",Z_ALAPADATOK!B7," ",Z_ALAPADATOK!C7," ",Z_ALAPADATOK!D7," ",Z_ALAPADATOK!E7," ",Z_ALAPADATOK!F7," ",Z_ALAPADATOK!G7," ",Z_ALAPADATOK!H7)</f>
        <v>6.9.3.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CONCATENATE('Z_6.9.2.sz.mell'!B2:D2)</f>
        <v>7 kvi név</v>
      </c>
      <c r="C2" s="869"/>
      <c r="D2" s="870"/>
      <c r="E2" s="329" t="s">
        <v>515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'Z_6.9.2.sz.mell'!E4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CONCATENATE('Z_6.9.2.sz.mell'!E5)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98024-1362-4C88-A819-64E9A07F66C6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CONCATENATE(Z_ALAPADATOK!M27," melléklet ",Z_ALAPADATOK!A7," ",Z_ALAPADATOK!B7," ",Z_ALAPADATOK!C7," ",Z_ALAPADATOK!D7," ",Z_ALAPADATOK!E7," ",Z_ALAPADATOK!F7," ",Z_ALAPADATOK!G7," ",Z_ALAPADATOK!H7)</f>
        <v>6.10. melléklet a … / 2022. ( … ) önkormányzati rendelethez</v>
      </c>
      <c r="C1" s="867"/>
      <c r="D1" s="867"/>
      <c r="E1" s="867"/>
    </row>
    <row r="2" spans="1:5" s="217" customFormat="1" ht="25.5" customHeight="1" thickBot="1" x14ac:dyDescent="0.25">
      <c r="A2" s="328" t="s">
        <v>452</v>
      </c>
      <c r="B2" s="868" t="str">
        <f>CONCATENATE(Z_ALAPADATOK!B27)</f>
        <v>8 kvi név</v>
      </c>
      <c r="C2" s="869"/>
      <c r="D2" s="870"/>
      <c r="E2" s="329" t="s">
        <v>516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CONCATENATE('Z_6.9.3.sz.mell'!E5)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5D03-59DF-40EA-ADBF-D91FD619B37D}">
  <sheetPr>
    <tabColor rgb="FF92D050"/>
  </sheetPr>
  <dimension ref="A1:E60"/>
  <sheetViews>
    <sheetView zoomScale="120" zoomScaleNormal="120" workbookViewId="0">
      <selection activeCell="I18" sqref="I18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CONCATENATE(Z_ALAPADATOK!M27,"1. melléklet ",Z_ALAPADATOK!A7," ",Z_ALAPADATOK!B7," ",Z_ALAPADATOK!C7," ",Z_ALAPADATOK!D7," ",Z_ALAPADATOK!E7," ",Z_ALAPADATOK!F7," ",Z_ALAPADATOK!G7," ",Z_ALAPADATOK!H7)</f>
        <v>6.10.1.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CONCATENATE('Z_6.10.sz.mell'!B2:D2)</f>
        <v>8 kvi név</v>
      </c>
      <c r="C2" s="869"/>
      <c r="D2" s="870"/>
      <c r="E2" s="329" t="s">
        <v>516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'Z_6.10.sz.mell'!E4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CONCATENATE('Z_6.10.sz.mell'!E5)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13AE1-3939-4BFF-976C-C65E4B01C181}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CONCATENATE(Z_ALAPADATOK!M27,"2. melléklet ",Z_ALAPADATOK!A7," ",Z_ALAPADATOK!B7," ",Z_ALAPADATOK!C7," ",Z_ALAPADATOK!D7," ",Z_ALAPADATOK!E7," ",Z_ALAPADATOK!F7," ",Z_ALAPADATOK!G7," ",Z_ALAPADATOK!H7)</f>
        <v>6.10.2.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CONCATENATE('Z_6.10.1.sz.mell'!B2:D2)</f>
        <v>8 kvi név</v>
      </c>
      <c r="C2" s="869"/>
      <c r="D2" s="870"/>
      <c r="E2" s="329" t="s">
        <v>516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'Z_6.10.1.sz.mell'!E4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CONCATENATE('Z_6.10.1.sz.mell'!E5)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1D3-4779-4D63-A268-FD102A6E2916}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CONCATENATE(Z_ALAPADATOK!M27,"3. melléklet ",Z_ALAPADATOK!A7," ",Z_ALAPADATOK!B7," ",Z_ALAPADATOK!C7," ",Z_ALAPADATOK!D7," ",Z_ALAPADATOK!E7," ",Z_ALAPADATOK!F7," ",Z_ALAPADATOK!G7," ",Z_ALAPADATOK!H7)</f>
        <v>6.10.3.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CONCATENATE('Z_6.10.2.sz.mell'!B2:D2)</f>
        <v>8 kvi név</v>
      </c>
      <c r="C2" s="869"/>
      <c r="D2" s="870"/>
      <c r="E2" s="329" t="s">
        <v>516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'Z_6.10.2.sz.mell'!E4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CONCATENATE('Z_6.10.2.sz.mell'!E5)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FB6F9-167B-4874-B2F8-04A811844131}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CONCATENATE(Z_ALAPADATOK!M29," melléklet ",Z_ALAPADATOK!A7," ",Z_ALAPADATOK!B7," ",Z_ALAPADATOK!C7," ",Z_ALAPADATOK!D7," ",Z_ALAPADATOK!E7," ",Z_ALAPADATOK!F7," ",Z_ALAPADATOK!G7," ",Z_ALAPADATOK!H7)</f>
        <v>6.11. melléklet a … / 2022. ( … ) önkormányzati rendelethez</v>
      </c>
      <c r="C1" s="867"/>
      <c r="D1" s="867"/>
      <c r="E1" s="867"/>
    </row>
    <row r="2" spans="1:5" s="217" customFormat="1" ht="25.5" customHeight="1" thickBot="1" x14ac:dyDescent="0.25">
      <c r="A2" s="328" t="s">
        <v>452</v>
      </c>
      <c r="B2" s="868" t="str">
        <f>CONCATENATE(Z_ALAPADATOK!B29)</f>
        <v>9 kvi név</v>
      </c>
      <c r="C2" s="869"/>
      <c r="D2" s="870"/>
      <c r="E2" s="329" t="s">
        <v>517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CONCATENATE('Z_6.10.3.sz.mell'!E5)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EB01-5BC6-4768-915D-682E603A11D8}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CONCATENATE(Z_ALAPADATOK!M29,"1. melléklet ",Z_ALAPADATOK!A7," ",Z_ALAPADATOK!B7," ",Z_ALAPADATOK!C7," ",Z_ALAPADATOK!D7," ",Z_ALAPADATOK!E7," ",Z_ALAPADATOK!F7," ",Z_ALAPADATOK!G7," ",Z_ALAPADATOK!H7)</f>
        <v>6.11.1.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CONCATENATE('Z_6.11.sz.mell'!B2:D2)</f>
        <v>9 kvi név</v>
      </c>
      <c r="C2" s="869"/>
      <c r="D2" s="870"/>
      <c r="E2" s="329" t="s">
        <v>517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49F43-1D50-42B9-A623-979856F16D34}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CONCATENATE(Z_ALAPADATOK!M29,"2. melléklet ",Z_ALAPADATOK!A7," ",Z_ALAPADATOK!B7," ",Z_ALAPADATOK!C7," ",Z_ALAPADATOK!D7," ",Z_ALAPADATOK!E7," ",Z_ALAPADATOK!F7," ",Z_ALAPADATOK!G7," ",Z_ALAPADATOK!H7)</f>
        <v>6.11.2.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CONCATENATE('Z_6.11.1.sz.mell'!B2:D2)</f>
        <v>9 kvi név</v>
      </c>
      <c r="C2" s="869"/>
      <c r="D2" s="870"/>
      <c r="E2" s="329" t="s">
        <v>517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'Z_6.11.1.sz.mell'!E4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CONCATENATE('Z_6.11.1.sz.mell'!E5)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08A8-2F91-448F-B485-6B4AE80F5963}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CONCATENATE(Z_ALAPADATOK!M29,"3. melléklet ",Z_ALAPADATOK!A7," ",Z_ALAPADATOK!B7," ",Z_ALAPADATOK!C7," ",Z_ALAPADATOK!D7," ",Z_ALAPADATOK!E7," ",Z_ALAPADATOK!F7," ",Z_ALAPADATOK!G7," ",Z_ALAPADATOK!H7)</f>
        <v>6.11.3.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CONCATENATE('Z_6.11.2.sz.mell'!B2:D2)</f>
        <v>9 kvi név</v>
      </c>
      <c r="C2" s="869"/>
      <c r="D2" s="870"/>
      <c r="E2" s="329" t="s">
        <v>517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'Z_6.11.2.sz.mell'!E4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CONCATENATE('Z_6.11.2.sz.mell'!E5)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33D11-F36C-45BF-BDE8-5409A24B31B6}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66" t="str">
        <f>CONCATENATE(Z_ALAPADATOK!M31," melléklet ",Z_ALAPADATOK!A7," ",Z_ALAPADATOK!B7," ",Z_ALAPADATOK!C7," ",Z_ALAPADATOK!D7," ",Z_ALAPADATOK!E7," ",Z_ALAPADATOK!F7," ",Z_ALAPADATOK!G7," ",Z_ALAPADATOK!H7)</f>
        <v>6.12. melléklet a … / 2022. ( … ) önkormányzati rendelethez</v>
      </c>
      <c r="C1" s="867"/>
      <c r="D1" s="867"/>
      <c r="E1" s="867"/>
    </row>
    <row r="2" spans="1:5" s="217" customFormat="1" ht="25.5" customHeight="1" thickBot="1" x14ac:dyDescent="0.25">
      <c r="A2" s="328" t="s">
        <v>452</v>
      </c>
      <c r="B2" s="868" t="str">
        <f>CONCATENATE(Z_ALAPADATOK!B31)</f>
        <v>10 kvi név</v>
      </c>
      <c r="C2" s="869"/>
      <c r="D2" s="870"/>
      <c r="E2" s="329" t="s">
        <v>518</v>
      </c>
    </row>
    <row r="3" spans="1:5" s="217" customFormat="1" ht="24.75" thickBot="1" x14ac:dyDescent="0.25">
      <c r="A3" s="328" t="s">
        <v>134</v>
      </c>
      <c r="B3" s="868" t="s">
        <v>302</v>
      </c>
      <c r="C3" s="869"/>
      <c r="D3" s="870"/>
      <c r="E3" s="329" t="s">
        <v>38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'Z_6.2.3.sz.mell'!E4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CONCATENATE('Z_6.11.3.sz.mell'!E5)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7A659-7587-44E5-9A78-C5584E0458E5}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CONCATENATE(Z_ALAPADATOK!M31,"1. melléklet ",Z_ALAPADATOK!A7," ",Z_ALAPADATOK!B7," ",Z_ALAPADATOK!C7," ",Z_ALAPADATOK!D7," ",Z_ALAPADATOK!E7," ",Z_ALAPADATOK!F7," ",Z_ALAPADATOK!G7," ",Z_ALAPADATOK!H7)</f>
        <v>6.12.1.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CONCATENATE('Z_6.12.sz.mell'!B2:D2)</f>
        <v>10 kvi név</v>
      </c>
      <c r="C2" s="869"/>
      <c r="D2" s="870"/>
      <c r="E2" s="329" t="s">
        <v>518</v>
      </c>
    </row>
    <row r="3" spans="1:5" s="217" customFormat="1" ht="24.75" thickBot="1" x14ac:dyDescent="0.25">
      <c r="A3" s="328" t="s">
        <v>134</v>
      </c>
      <c r="B3" s="868" t="s">
        <v>322</v>
      </c>
      <c r="C3" s="869"/>
      <c r="D3" s="870"/>
      <c r="E3" s="329" t="s">
        <v>42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0291-E309-45F8-A32E-B25BD2FDC081}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CONCATENATE(Z_ALAPADATOK!M31,"2. melléklet ",Z_ALAPADATOK!A7," ",Z_ALAPADATOK!B7," ",Z_ALAPADATOK!C7," ",Z_ALAPADATOK!D7," ",Z_ALAPADATOK!E7," ",Z_ALAPADATOK!F7," ",Z_ALAPADATOK!G7," ",Z_ALAPADATOK!H7)</f>
        <v>6.12.2.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CONCATENATE('Z_6.12.1.sz.mell'!B2:D2)</f>
        <v>10 kvi név</v>
      </c>
      <c r="C2" s="869"/>
      <c r="D2" s="870"/>
      <c r="E2" s="329" t="s">
        <v>518</v>
      </c>
    </row>
    <row r="3" spans="1:5" s="217" customFormat="1" ht="24.75" thickBot="1" x14ac:dyDescent="0.25">
      <c r="A3" s="328" t="s">
        <v>134</v>
      </c>
      <c r="B3" s="868" t="s">
        <v>323</v>
      </c>
      <c r="C3" s="869"/>
      <c r="D3" s="870"/>
      <c r="E3" s="329" t="s">
        <v>43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'Z_6.12.1.sz.mell'!E4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CONCATENATE('Z_6.12.1.sz.mell'!E5)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514D5-6BC5-487C-ABEC-AAF5E283461D}">
  <sheetPr>
    <tabColor rgb="FF92D050"/>
  </sheetPr>
  <dimension ref="A1:E60"/>
  <sheetViews>
    <sheetView zoomScale="120" zoomScaleNormal="120" workbookViewId="0">
      <selection activeCell="I20" sqref="I20"/>
    </sheetView>
  </sheetViews>
  <sheetFormatPr defaultRowHeight="12.75" x14ac:dyDescent="0.2"/>
  <cols>
    <col min="1" max="1" width="13.83203125" style="94" customWidth="1"/>
    <col min="2" max="2" width="54.5" style="95" customWidth="1"/>
    <col min="3" max="5" width="15.83203125" style="95" customWidth="1"/>
    <col min="6" max="16384" width="9.33203125" style="95"/>
  </cols>
  <sheetData>
    <row r="1" spans="1:5" s="85" customFormat="1" ht="16.5" thickBot="1" x14ac:dyDescent="0.3">
      <c r="A1" s="327"/>
      <c r="B1" s="871" t="str">
        <f>CONCATENATE(Z_ALAPADATOK!M31,"3. melléklet ",Z_ALAPADATOK!A7," ",Z_ALAPADATOK!B7," ",Z_ALAPADATOK!C7," ",Z_ALAPADATOK!D7," ",Z_ALAPADATOK!E7," ",Z_ALAPADATOK!F7," ",Z_ALAPADATOK!G7," ",Z_ALAPADATOK!H7)</f>
        <v>6.12.3. melléklet a … / 2022. ( … ) önkormányzati rendelethez</v>
      </c>
      <c r="C1" s="872"/>
      <c r="D1" s="872"/>
      <c r="E1" s="872"/>
    </row>
    <row r="2" spans="1:5" s="217" customFormat="1" ht="25.5" customHeight="1" thickBot="1" x14ac:dyDescent="0.25">
      <c r="A2" s="328" t="s">
        <v>452</v>
      </c>
      <c r="B2" s="868" t="str">
        <f>CONCATENATE('Z_6.12.2.sz.mell'!B2:D2)</f>
        <v>10 kvi név</v>
      </c>
      <c r="C2" s="869"/>
      <c r="D2" s="870"/>
      <c r="E2" s="329" t="s">
        <v>517</v>
      </c>
    </row>
    <row r="3" spans="1:5" s="217" customFormat="1" ht="24.75" thickBot="1" x14ac:dyDescent="0.25">
      <c r="A3" s="328" t="s">
        <v>134</v>
      </c>
      <c r="B3" s="868" t="s">
        <v>415</v>
      </c>
      <c r="C3" s="869"/>
      <c r="D3" s="870"/>
      <c r="E3" s="329" t="s">
        <v>332</v>
      </c>
    </row>
    <row r="4" spans="1:5" s="218" customFormat="1" ht="15.95" customHeight="1" thickBot="1" x14ac:dyDescent="0.3">
      <c r="A4" s="330"/>
      <c r="B4" s="330"/>
      <c r="C4" s="331"/>
      <c r="D4" s="332"/>
      <c r="E4" s="331" t="str">
        <f>'Z_6.12.2.sz.mell'!E4</f>
        <v xml:space="preserve"> Forintban!</v>
      </c>
    </row>
    <row r="5" spans="1:5" ht="24.75" thickBot="1" x14ac:dyDescent="0.25">
      <c r="A5" s="333" t="s">
        <v>135</v>
      </c>
      <c r="B5" s="334" t="s">
        <v>483</v>
      </c>
      <c r="C5" s="334" t="s">
        <v>448</v>
      </c>
      <c r="D5" s="335" t="s">
        <v>449</v>
      </c>
      <c r="E5" s="318" t="str">
        <f>CONCATENATE('Z_6.12.2.sz.mell'!E5)</f>
        <v>Teljesítés
2021. XII. 31.</v>
      </c>
    </row>
    <row r="6" spans="1:5" s="219" customFormat="1" ht="12.95" customHeight="1" thickBot="1" x14ac:dyDescent="0.25">
      <c r="A6" s="366" t="s">
        <v>385</v>
      </c>
      <c r="B6" s="367" t="s">
        <v>386</v>
      </c>
      <c r="C6" s="367" t="s">
        <v>387</v>
      </c>
      <c r="D6" s="368" t="s">
        <v>389</v>
      </c>
      <c r="E6" s="369" t="s">
        <v>388</v>
      </c>
    </row>
    <row r="7" spans="1:5" s="219" customFormat="1" ht="15.95" customHeight="1" thickBot="1" x14ac:dyDescent="0.25">
      <c r="A7" s="862" t="s">
        <v>39</v>
      </c>
      <c r="B7" s="863"/>
      <c r="C7" s="863"/>
      <c r="D7" s="863"/>
      <c r="E7" s="864"/>
    </row>
    <row r="8" spans="1:5" s="155" customFormat="1" ht="12" customHeight="1" thickBot="1" x14ac:dyDescent="0.25">
      <c r="A8" s="77" t="s">
        <v>6</v>
      </c>
      <c r="B8" s="86" t="s">
        <v>406</v>
      </c>
      <c r="C8" s="122">
        <f>SUM(C9:C19)</f>
        <v>0</v>
      </c>
      <c r="D8" s="122">
        <f>SUM(D9:D19)</f>
        <v>0</v>
      </c>
      <c r="E8" s="124">
        <f>SUM(E9:E19)</f>
        <v>0</v>
      </c>
    </row>
    <row r="9" spans="1:5" s="155" customFormat="1" ht="12" customHeight="1" x14ac:dyDescent="0.2">
      <c r="A9" s="212" t="s">
        <v>63</v>
      </c>
      <c r="B9" s="8" t="s">
        <v>183</v>
      </c>
      <c r="C9" s="278"/>
      <c r="D9" s="278"/>
      <c r="E9" s="298"/>
    </row>
    <row r="10" spans="1:5" s="155" customFormat="1" ht="12" customHeight="1" x14ac:dyDescent="0.2">
      <c r="A10" s="213" t="s">
        <v>64</v>
      </c>
      <c r="B10" s="6" t="s">
        <v>184</v>
      </c>
      <c r="C10" s="119"/>
      <c r="D10" s="265"/>
      <c r="E10" s="270"/>
    </row>
    <row r="11" spans="1:5" s="155" customFormat="1" ht="12" customHeight="1" x14ac:dyDescent="0.2">
      <c r="A11" s="213" t="s">
        <v>65</v>
      </c>
      <c r="B11" s="6" t="s">
        <v>185</v>
      </c>
      <c r="C11" s="119"/>
      <c r="D11" s="265"/>
      <c r="E11" s="270"/>
    </row>
    <row r="12" spans="1:5" s="155" customFormat="1" ht="12" customHeight="1" x14ac:dyDescent="0.2">
      <c r="A12" s="213" t="s">
        <v>66</v>
      </c>
      <c r="B12" s="6" t="s">
        <v>186</v>
      </c>
      <c r="C12" s="119"/>
      <c r="D12" s="265"/>
      <c r="E12" s="270"/>
    </row>
    <row r="13" spans="1:5" s="155" customFormat="1" ht="12" customHeight="1" x14ac:dyDescent="0.2">
      <c r="A13" s="213" t="s">
        <v>96</v>
      </c>
      <c r="B13" s="6" t="s">
        <v>187</v>
      </c>
      <c r="C13" s="119"/>
      <c r="D13" s="265"/>
      <c r="E13" s="270"/>
    </row>
    <row r="14" spans="1:5" s="155" customFormat="1" ht="12" customHeight="1" x14ac:dyDescent="0.2">
      <c r="A14" s="213" t="s">
        <v>67</v>
      </c>
      <c r="B14" s="6" t="s">
        <v>304</v>
      </c>
      <c r="C14" s="119"/>
      <c r="D14" s="265"/>
      <c r="E14" s="270"/>
    </row>
    <row r="15" spans="1:5" s="155" customFormat="1" ht="12" customHeight="1" x14ac:dyDescent="0.2">
      <c r="A15" s="213" t="s">
        <v>68</v>
      </c>
      <c r="B15" s="5" t="s">
        <v>305</v>
      </c>
      <c r="C15" s="119"/>
      <c r="D15" s="265"/>
      <c r="E15" s="270"/>
    </row>
    <row r="16" spans="1:5" s="155" customFormat="1" ht="12" customHeight="1" x14ac:dyDescent="0.2">
      <c r="A16" s="213" t="s">
        <v>76</v>
      </c>
      <c r="B16" s="6" t="s">
        <v>190</v>
      </c>
      <c r="C16" s="276"/>
      <c r="D16" s="303"/>
      <c r="E16" s="274"/>
    </row>
    <row r="17" spans="1:5" s="220" customFormat="1" ht="12" customHeight="1" x14ac:dyDescent="0.2">
      <c r="A17" s="213" t="s">
        <v>77</v>
      </c>
      <c r="B17" s="6" t="s">
        <v>191</v>
      </c>
      <c r="C17" s="119"/>
      <c r="D17" s="265"/>
      <c r="E17" s="270"/>
    </row>
    <row r="18" spans="1:5" s="220" customFormat="1" ht="12" customHeight="1" x14ac:dyDescent="0.2">
      <c r="A18" s="213" t="s">
        <v>78</v>
      </c>
      <c r="B18" s="6" t="s">
        <v>337</v>
      </c>
      <c r="C18" s="121"/>
      <c r="D18" s="266"/>
      <c r="E18" s="271"/>
    </row>
    <row r="19" spans="1:5" s="220" customFormat="1" ht="12" customHeight="1" thickBot="1" x14ac:dyDescent="0.25">
      <c r="A19" s="213" t="s">
        <v>79</v>
      </c>
      <c r="B19" s="5" t="s">
        <v>192</v>
      </c>
      <c r="C19" s="121"/>
      <c r="D19" s="266"/>
      <c r="E19" s="271"/>
    </row>
    <row r="20" spans="1:5" s="155" customFormat="1" ht="12" customHeight="1" thickBot="1" x14ac:dyDescent="0.25">
      <c r="A20" s="77" t="s">
        <v>7</v>
      </c>
      <c r="B20" s="86" t="s">
        <v>306</v>
      </c>
      <c r="C20" s="122">
        <f>SUM(C21:C23)</f>
        <v>0</v>
      </c>
      <c r="D20" s="267">
        <f>SUM(D21:D23)</f>
        <v>0</v>
      </c>
      <c r="E20" s="150">
        <f>SUM(E21:E23)</f>
        <v>0</v>
      </c>
    </row>
    <row r="21" spans="1:5" s="220" customFormat="1" ht="12" customHeight="1" x14ac:dyDescent="0.2">
      <c r="A21" s="213" t="s">
        <v>69</v>
      </c>
      <c r="B21" s="7" t="s">
        <v>167</v>
      </c>
      <c r="C21" s="119"/>
      <c r="D21" s="265"/>
      <c r="E21" s="270"/>
    </row>
    <row r="22" spans="1:5" s="220" customFormat="1" ht="12" customHeight="1" x14ac:dyDescent="0.2">
      <c r="A22" s="213" t="s">
        <v>70</v>
      </c>
      <c r="B22" s="6" t="s">
        <v>307</v>
      </c>
      <c r="C22" s="119"/>
      <c r="D22" s="265"/>
      <c r="E22" s="270"/>
    </row>
    <row r="23" spans="1:5" s="220" customFormat="1" ht="12" customHeight="1" x14ac:dyDescent="0.2">
      <c r="A23" s="213" t="s">
        <v>71</v>
      </c>
      <c r="B23" s="6" t="s">
        <v>308</v>
      </c>
      <c r="C23" s="119"/>
      <c r="D23" s="265"/>
      <c r="E23" s="270"/>
    </row>
    <row r="24" spans="1:5" s="220" customFormat="1" ht="12" customHeight="1" thickBot="1" x14ac:dyDescent="0.25">
      <c r="A24" s="213" t="s">
        <v>72</v>
      </c>
      <c r="B24" s="6" t="s">
        <v>411</v>
      </c>
      <c r="C24" s="119"/>
      <c r="D24" s="265"/>
      <c r="E24" s="270"/>
    </row>
    <row r="25" spans="1:5" s="220" customFormat="1" ht="12" customHeight="1" thickBot="1" x14ac:dyDescent="0.25">
      <c r="A25" s="81" t="s">
        <v>8</v>
      </c>
      <c r="B25" s="59" t="s">
        <v>112</v>
      </c>
      <c r="C25" s="300"/>
      <c r="D25" s="302"/>
      <c r="E25" s="149"/>
    </row>
    <row r="26" spans="1:5" s="220" customFormat="1" ht="12" customHeight="1" thickBot="1" x14ac:dyDescent="0.25">
      <c r="A26" s="81" t="s">
        <v>9</v>
      </c>
      <c r="B26" s="59" t="s">
        <v>309</v>
      </c>
      <c r="C26" s="122">
        <f>+C27+C28</f>
        <v>0</v>
      </c>
      <c r="D26" s="267">
        <f>+D27+D28</f>
        <v>0</v>
      </c>
      <c r="E26" s="150">
        <f>+E27+E28</f>
        <v>0</v>
      </c>
    </row>
    <row r="27" spans="1:5" s="220" customFormat="1" ht="12" customHeight="1" x14ac:dyDescent="0.2">
      <c r="A27" s="214" t="s">
        <v>176</v>
      </c>
      <c r="B27" s="215" t="s">
        <v>307</v>
      </c>
      <c r="C27" s="277"/>
      <c r="D27" s="61"/>
      <c r="E27" s="275"/>
    </row>
    <row r="28" spans="1:5" s="220" customFormat="1" ht="12" customHeight="1" x14ac:dyDescent="0.2">
      <c r="A28" s="214" t="s">
        <v>177</v>
      </c>
      <c r="B28" s="216" t="s">
        <v>310</v>
      </c>
      <c r="C28" s="123"/>
      <c r="D28" s="268"/>
      <c r="E28" s="272"/>
    </row>
    <row r="29" spans="1:5" s="220" customFormat="1" ht="12" customHeight="1" thickBot="1" x14ac:dyDescent="0.25">
      <c r="A29" s="213" t="s">
        <v>178</v>
      </c>
      <c r="B29" s="64" t="s">
        <v>412</v>
      </c>
      <c r="C29" s="50"/>
      <c r="D29" s="304"/>
      <c r="E29" s="299"/>
    </row>
    <row r="30" spans="1:5" s="220" customFormat="1" ht="12" customHeight="1" thickBot="1" x14ac:dyDescent="0.25">
      <c r="A30" s="81" t="s">
        <v>10</v>
      </c>
      <c r="B30" s="59" t="s">
        <v>311</v>
      </c>
      <c r="C30" s="122">
        <f>+C31+C32+C33</f>
        <v>0</v>
      </c>
      <c r="D30" s="267">
        <f>+D31+D32+D33</f>
        <v>0</v>
      </c>
      <c r="E30" s="150">
        <f>+E31+E32+E33</f>
        <v>0</v>
      </c>
    </row>
    <row r="31" spans="1:5" s="220" customFormat="1" ht="12" customHeight="1" x14ac:dyDescent="0.2">
      <c r="A31" s="214" t="s">
        <v>56</v>
      </c>
      <c r="B31" s="215" t="s">
        <v>197</v>
      </c>
      <c r="C31" s="277"/>
      <c r="D31" s="61"/>
      <c r="E31" s="275"/>
    </row>
    <row r="32" spans="1:5" s="220" customFormat="1" ht="12" customHeight="1" x14ac:dyDescent="0.2">
      <c r="A32" s="214" t="s">
        <v>57</v>
      </c>
      <c r="B32" s="216" t="s">
        <v>198</v>
      </c>
      <c r="C32" s="123"/>
      <c r="D32" s="268"/>
      <c r="E32" s="272"/>
    </row>
    <row r="33" spans="1:5" s="220" customFormat="1" ht="12" customHeight="1" thickBot="1" x14ac:dyDescent="0.25">
      <c r="A33" s="213" t="s">
        <v>58</v>
      </c>
      <c r="B33" s="64" t="s">
        <v>199</v>
      </c>
      <c r="C33" s="50"/>
      <c r="D33" s="304"/>
      <c r="E33" s="299"/>
    </row>
    <row r="34" spans="1:5" s="155" customFormat="1" ht="12" customHeight="1" thickBot="1" x14ac:dyDescent="0.25">
      <c r="A34" s="81" t="s">
        <v>11</v>
      </c>
      <c r="B34" s="59" t="s">
        <v>282</v>
      </c>
      <c r="C34" s="300"/>
      <c r="D34" s="302"/>
      <c r="E34" s="149"/>
    </row>
    <row r="35" spans="1:5" s="155" customFormat="1" ht="12" customHeight="1" thickBot="1" x14ac:dyDescent="0.25">
      <c r="A35" s="81" t="s">
        <v>12</v>
      </c>
      <c r="B35" s="59" t="s">
        <v>312</v>
      </c>
      <c r="C35" s="300"/>
      <c r="D35" s="302"/>
      <c r="E35" s="149"/>
    </row>
    <row r="36" spans="1:5" s="155" customFormat="1" ht="12" customHeight="1" thickBot="1" x14ac:dyDescent="0.25">
      <c r="A36" s="77" t="s">
        <v>13</v>
      </c>
      <c r="B36" s="59" t="s">
        <v>413</v>
      </c>
      <c r="C36" s="122">
        <f>+C8+C20+C25+C26+C30+C34+C35</f>
        <v>0</v>
      </c>
      <c r="D36" s="267">
        <f>+D8+D20+D25+D26+D30+D34+D35</f>
        <v>0</v>
      </c>
      <c r="E36" s="150">
        <f>+E8+E20+E25+E26+E30+E34+E35</f>
        <v>0</v>
      </c>
    </row>
    <row r="37" spans="1:5" s="155" customFormat="1" ht="12" customHeight="1" thickBot="1" x14ac:dyDescent="0.25">
      <c r="A37" s="87" t="s">
        <v>14</v>
      </c>
      <c r="B37" s="59" t="s">
        <v>314</v>
      </c>
      <c r="C37" s="122">
        <f>+C38+C39+C40</f>
        <v>0</v>
      </c>
      <c r="D37" s="267">
        <f>+D38+D39+D40</f>
        <v>0</v>
      </c>
      <c r="E37" s="150">
        <f>+E38+E39+E40</f>
        <v>0</v>
      </c>
    </row>
    <row r="38" spans="1:5" s="155" customFormat="1" ht="12" customHeight="1" x14ac:dyDescent="0.2">
      <c r="A38" s="214" t="s">
        <v>315</v>
      </c>
      <c r="B38" s="215" t="s">
        <v>149</v>
      </c>
      <c r="C38" s="277"/>
      <c r="D38" s="61"/>
      <c r="E38" s="275"/>
    </row>
    <row r="39" spans="1:5" s="155" customFormat="1" ht="12" customHeight="1" x14ac:dyDescent="0.2">
      <c r="A39" s="214" t="s">
        <v>316</v>
      </c>
      <c r="B39" s="216" t="s">
        <v>0</v>
      </c>
      <c r="C39" s="123"/>
      <c r="D39" s="268"/>
      <c r="E39" s="272"/>
    </row>
    <row r="40" spans="1:5" s="220" customFormat="1" ht="12" customHeight="1" thickBot="1" x14ac:dyDescent="0.25">
      <c r="A40" s="213" t="s">
        <v>317</v>
      </c>
      <c r="B40" s="64" t="s">
        <v>318</v>
      </c>
      <c r="C40" s="50"/>
      <c r="D40" s="304"/>
      <c r="E40" s="299"/>
    </row>
    <row r="41" spans="1:5" s="220" customFormat="1" ht="15.2" customHeight="1" thickBot="1" x14ac:dyDescent="0.25">
      <c r="A41" s="87" t="s">
        <v>15</v>
      </c>
      <c r="B41" s="88" t="s">
        <v>319</v>
      </c>
      <c r="C41" s="301">
        <f>+C36+C37</f>
        <v>0</v>
      </c>
      <c r="D41" s="297">
        <f>+D36+D37</f>
        <v>0</v>
      </c>
      <c r="E41" s="153">
        <f>+E36+E37</f>
        <v>0</v>
      </c>
    </row>
    <row r="42" spans="1:5" s="220" customFormat="1" ht="15.2" customHeight="1" x14ac:dyDescent="0.2">
      <c r="A42" s="89"/>
      <c r="B42" s="90"/>
      <c r="C42" s="151"/>
    </row>
    <row r="43" spans="1:5" ht="13.5" thickBot="1" x14ac:dyDescent="0.25">
      <c r="A43" s="91"/>
      <c r="B43" s="92"/>
      <c r="C43" s="152"/>
    </row>
    <row r="44" spans="1:5" s="219" customFormat="1" ht="16.5" customHeight="1" thickBot="1" x14ac:dyDescent="0.25">
      <c r="A44" s="862" t="s">
        <v>40</v>
      </c>
      <c r="B44" s="863"/>
      <c r="C44" s="863"/>
      <c r="D44" s="863"/>
      <c r="E44" s="864"/>
    </row>
    <row r="45" spans="1:5" s="221" customFormat="1" ht="12" customHeight="1" thickBot="1" x14ac:dyDescent="0.25">
      <c r="A45" s="81" t="s">
        <v>6</v>
      </c>
      <c r="B45" s="59" t="s">
        <v>320</v>
      </c>
      <c r="C45" s="122">
        <f>SUM(C46:C50)</f>
        <v>0</v>
      </c>
      <c r="D45" s="267">
        <f>SUM(D46:D50)</f>
        <v>0</v>
      </c>
      <c r="E45" s="150">
        <f>SUM(E46:E50)</f>
        <v>0</v>
      </c>
    </row>
    <row r="46" spans="1:5" ht="12" customHeight="1" x14ac:dyDescent="0.2">
      <c r="A46" s="213" t="s">
        <v>63</v>
      </c>
      <c r="B46" s="7" t="s">
        <v>35</v>
      </c>
      <c r="C46" s="277"/>
      <c r="D46" s="61"/>
      <c r="E46" s="275"/>
    </row>
    <row r="47" spans="1:5" ht="12" customHeight="1" x14ac:dyDescent="0.2">
      <c r="A47" s="213" t="s">
        <v>64</v>
      </c>
      <c r="B47" s="6" t="s">
        <v>121</v>
      </c>
      <c r="C47" s="49"/>
      <c r="D47" s="62"/>
      <c r="E47" s="273"/>
    </row>
    <row r="48" spans="1:5" ht="12" customHeight="1" x14ac:dyDescent="0.2">
      <c r="A48" s="213" t="s">
        <v>65</v>
      </c>
      <c r="B48" s="6" t="s">
        <v>89</v>
      </c>
      <c r="C48" s="49"/>
      <c r="D48" s="62"/>
      <c r="E48" s="273"/>
    </row>
    <row r="49" spans="1:5" ht="12" customHeight="1" x14ac:dyDescent="0.2">
      <c r="A49" s="213" t="s">
        <v>66</v>
      </c>
      <c r="B49" s="6" t="s">
        <v>122</v>
      </c>
      <c r="C49" s="49"/>
      <c r="D49" s="62"/>
      <c r="E49" s="273"/>
    </row>
    <row r="50" spans="1:5" ht="12" customHeight="1" thickBot="1" x14ac:dyDescent="0.25">
      <c r="A50" s="213" t="s">
        <v>96</v>
      </c>
      <c r="B50" s="6" t="s">
        <v>123</v>
      </c>
      <c r="C50" s="49"/>
      <c r="D50" s="62"/>
      <c r="E50" s="273"/>
    </row>
    <row r="51" spans="1:5" ht="12" customHeight="1" thickBot="1" x14ac:dyDescent="0.25">
      <c r="A51" s="81" t="s">
        <v>7</v>
      </c>
      <c r="B51" s="59" t="s">
        <v>321</v>
      </c>
      <c r="C51" s="122">
        <f>SUM(C52:C54)</f>
        <v>0</v>
      </c>
      <c r="D51" s="267">
        <f>SUM(D52:D54)</f>
        <v>0</v>
      </c>
      <c r="E51" s="150">
        <f>SUM(E52:E54)</f>
        <v>0</v>
      </c>
    </row>
    <row r="52" spans="1:5" s="221" customFormat="1" ht="12" customHeight="1" x14ac:dyDescent="0.2">
      <c r="A52" s="213" t="s">
        <v>69</v>
      </c>
      <c r="B52" s="7" t="s">
        <v>142</v>
      </c>
      <c r="C52" s="277"/>
      <c r="D52" s="61"/>
      <c r="E52" s="275"/>
    </row>
    <row r="53" spans="1:5" ht="12" customHeight="1" x14ac:dyDescent="0.2">
      <c r="A53" s="213" t="s">
        <v>70</v>
      </c>
      <c r="B53" s="6" t="s">
        <v>125</v>
      </c>
      <c r="C53" s="49"/>
      <c r="D53" s="62"/>
      <c r="E53" s="273"/>
    </row>
    <row r="54" spans="1:5" ht="12" customHeight="1" x14ac:dyDescent="0.2">
      <c r="A54" s="213" t="s">
        <v>71</v>
      </c>
      <c r="B54" s="6" t="s">
        <v>41</v>
      </c>
      <c r="C54" s="49"/>
      <c r="D54" s="62"/>
      <c r="E54" s="273"/>
    </row>
    <row r="55" spans="1:5" ht="12" customHeight="1" thickBot="1" x14ac:dyDescent="0.25">
      <c r="A55" s="213" t="s">
        <v>72</v>
      </c>
      <c r="B55" s="6" t="s">
        <v>410</v>
      </c>
      <c r="C55" s="49"/>
      <c r="D55" s="62"/>
      <c r="E55" s="273"/>
    </row>
    <row r="56" spans="1:5" ht="15.2" customHeight="1" thickBot="1" x14ac:dyDescent="0.25">
      <c r="A56" s="81" t="s">
        <v>8</v>
      </c>
      <c r="B56" s="59" t="s">
        <v>2</v>
      </c>
      <c r="C56" s="300"/>
      <c r="D56" s="302"/>
      <c r="E56" s="149"/>
    </row>
    <row r="57" spans="1:5" ht="13.5" thickBot="1" x14ac:dyDescent="0.25">
      <c r="A57" s="81" t="s">
        <v>9</v>
      </c>
      <c r="B57" s="93" t="s">
        <v>414</v>
      </c>
      <c r="C57" s="301">
        <f>+C45+C51+C56</f>
        <v>0</v>
      </c>
      <c r="D57" s="297">
        <f>+D45+D51+D56</f>
        <v>0</v>
      </c>
      <c r="E57" s="153">
        <f>+E45+E51+E56</f>
        <v>0</v>
      </c>
    </row>
    <row r="58" spans="1:5" ht="15.2" customHeight="1" thickBot="1" x14ac:dyDescent="0.25">
      <c r="C58" s="627">
        <f>C41-C57</f>
        <v>0</v>
      </c>
      <c r="D58" s="627">
        <f>D41-D57</f>
        <v>0</v>
      </c>
    </row>
    <row r="59" spans="1:5" ht="14.45" customHeight="1" thickBot="1" x14ac:dyDescent="0.25">
      <c r="A59" s="305" t="s">
        <v>484</v>
      </c>
      <c r="B59" s="306"/>
      <c r="C59" s="295"/>
      <c r="D59" s="295"/>
      <c r="E59" s="294"/>
    </row>
    <row r="60" spans="1:5" ht="13.5" thickBot="1" x14ac:dyDescent="0.25">
      <c r="A60" s="307" t="s">
        <v>485</v>
      </c>
      <c r="B60" s="308"/>
      <c r="C60" s="295"/>
      <c r="D60" s="295"/>
      <c r="E60" s="294"/>
    </row>
  </sheetData>
  <sheetProtection sheet="1" formatCells="0"/>
  <mergeCells count="5">
    <mergeCell ref="B1:E1"/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00286-4B17-45FF-AD8D-35B0560F291F}">
  <sheetPr>
    <tabColor theme="5"/>
  </sheetPr>
  <dimension ref="A1:G29"/>
  <sheetViews>
    <sheetView view="pageLayout" zoomScaleNormal="120" workbookViewId="0">
      <selection activeCell="A3" sqref="A3:G3"/>
    </sheetView>
  </sheetViews>
  <sheetFormatPr defaultRowHeight="12.75" x14ac:dyDescent="0.2"/>
  <cols>
    <col min="1" max="1" width="7" style="639" customWidth="1"/>
    <col min="2" max="2" width="32" style="95" customWidth="1"/>
    <col min="3" max="3" width="12.5" style="95" customWidth="1"/>
    <col min="4" max="6" width="11.83203125" style="95" customWidth="1"/>
    <col min="7" max="7" width="12.83203125" style="95" customWidth="1"/>
    <col min="8" max="16384" width="9.33203125" style="95"/>
  </cols>
  <sheetData>
    <row r="1" spans="1:7" ht="18.75" customHeight="1" x14ac:dyDescent="0.2">
      <c r="A1" s="880" t="str">
        <f>CONCATENATE("7. melléklet ",Z_ALAPADATOK!A7," ",Z_ALAPADATOK!B7," ",Z_ALAPADATOK!C7," ",Z_ALAPADATOK!D7," ",Z_ALAPADATOK!E7," ",Z_ALAPADATOK!F7," ",Z_ALAPADATOK!G7," ",Z_ALAPADATOK!H7)</f>
        <v>7. melléklet a … / 2022. ( … ) önkormányzati rendelethez</v>
      </c>
      <c r="B1" s="881"/>
      <c r="C1" s="881"/>
      <c r="D1" s="881"/>
      <c r="E1" s="881"/>
      <c r="F1" s="881"/>
      <c r="G1" s="881"/>
    </row>
    <row r="3" spans="1:7" ht="15.75" x14ac:dyDescent="0.2">
      <c r="A3" s="878" t="s">
        <v>839</v>
      </c>
      <c r="B3" s="879"/>
      <c r="C3" s="879"/>
      <c r="D3" s="879"/>
      <c r="E3" s="879"/>
      <c r="F3" s="879"/>
      <c r="G3" s="879"/>
    </row>
    <row r="5" spans="1:7" ht="14.25" thickBot="1" x14ac:dyDescent="0.25">
      <c r="G5" s="640" t="s">
        <v>843</v>
      </c>
    </row>
    <row r="6" spans="1:7" ht="17.25" customHeight="1" thickBot="1" x14ac:dyDescent="0.25">
      <c r="A6" s="882" t="s">
        <v>4</v>
      </c>
      <c r="B6" s="884" t="s">
        <v>831</v>
      </c>
      <c r="C6" s="884" t="s">
        <v>832</v>
      </c>
      <c r="D6" s="884" t="s">
        <v>833</v>
      </c>
      <c r="E6" s="886" t="s">
        <v>834</v>
      </c>
      <c r="F6" s="886"/>
      <c r="G6" s="887"/>
    </row>
    <row r="7" spans="1:7" s="643" customFormat="1" ht="57.75" customHeight="1" thickBot="1" x14ac:dyDescent="0.25">
      <c r="A7" s="883"/>
      <c r="B7" s="885"/>
      <c r="C7" s="885"/>
      <c r="D7" s="885"/>
      <c r="E7" s="641" t="s">
        <v>835</v>
      </c>
      <c r="F7" s="641" t="s">
        <v>836</v>
      </c>
      <c r="G7" s="642" t="s">
        <v>837</v>
      </c>
    </row>
    <row r="8" spans="1:7" s="221" customFormat="1" ht="15" customHeight="1" thickBot="1" x14ac:dyDescent="0.25">
      <c r="A8" s="77" t="s">
        <v>385</v>
      </c>
      <c r="B8" s="78" t="s">
        <v>386</v>
      </c>
      <c r="C8" s="78" t="s">
        <v>387</v>
      </c>
      <c r="D8" s="78" t="s">
        <v>389</v>
      </c>
      <c r="E8" s="78" t="s">
        <v>838</v>
      </c>
      <c r="F8" s="78" t="s">
        <v>390</v>
      </c>
      <c r="G8" s="79" t="s">
        <v>391</v>
      </c>
    </row>
    <row r="9" spans="1:7" ht="48" customHeight="1" x14ac:dyDescent="0.2">
      <c r="A9" s="644" t="s">
        <v>6</v>
      </c>
      <c r="B9" s="645" t="s">
        <v>872</v>
      </c>
      <c r="C9" s="21">
        <v>109064650</v>
      </c>
      <c r="D9" s="646"/>
      <c r="E9" s="647">
        <f>C9-D9</f>
        <v>109064650</v>
      </c>
      <c r="F9" s="646"/>
      <c r="G9" s="648"/>
    </row>
    <row r="10" spans="1:7" ht="48" customHeight="1" x14ac:dyDescent="0.2">
      <c r="A10" s="649" t="s">
        <v>7</v>
      </c>
      <c r="B10" s="650" t="s">
        <v>875</v>
      </c>
      <c r="C10" s="21">
        <v>255176</v>
      </c>
      <c r="D10" s="21"/>
      <c r="E10" s="647">
        <f t="shared" ref="E10:E28" si="0">C10-D10</f>
        <v>255176</v>
      </c>
      <c r="F10" s="647"/>
      <c r="G10" s="450"/>
    </row>
    <row r="11" spans="1:7" ht="48" customHeight="1" x14ac:dyDescent="0.2">
      <c r="A11" s="649" t="s">
        <v>8</v>
      </c>
      <c r="B11" s="650" t="s">
        <v>873</v>
      </c>
      <c r="C11" s="21">
        <v>1662882</v>
      </c>
      <c r="D11" s="21"/>
      <c r="E11" s="647">
        <f t="shared" si="0"/>
        <v>1662882</v>
      </c>
      <c r="F11" s="647"/>
      <c r="G11" s="450"/>
    </row>
    <row r="12" spans="1:7" ht="48" customHeight="1" x14ac:dyDescent="0.2">
      <c r="A12" s="649" t="s">
        <v>9</v>
      </c>
      <c r="B12" s="650" t="s">
        <v>874</v>
      </c>
      <c r="C12" s="21">
        <v>252869</v>
      </c>
      <c r="D12" s="21"/>
      <c r="E12" s="647">
        <f t="shared" si="0"/>
        <v>252869</v>
      </c>
      <c r="F12" s="647"/>
      <c r="G12" s="450"/>
    </row>
    <row r="13" spans="1:7" ht="15" customHeight="1" x14ac:dyDescent="0.2">
      <c r="A13" s="649" t="s">
        <v>10</v>
      </c>
      <c r="B13" s="650"/>
      <c r="C13" s="21"/>
      <c r="D13" s="21"/>
      <c r="E13" s="647">
        <f t="shared" si="0"/>
        <v>0</v>
      </c>
      <c r="F13" s="21"/>
      <c r="G13" s="450"/>
    </row>
    <row r="14" spans="1:7" ht="15" customHeight="1" x14ac:dyDescent="0.2">
      <c r="A14" s="649" t="s">
        <v>11</v>
      </c>
      <c r="B14" s="650"/>
      <c r="C14" s="21"/>
      <c r="D14" s="21"/>
      <c r="E14" s="647">
        <f t="shared" si="0"/>
        <v>0</v>
      </c>
      <c r="F14" s="21"/>
      <c r="G14" s="450"/>
    </row>
    <row r="15" spans="1:7" ht="15" customHeight="1" x14ac:dyDescent="0.2">
      <c r="A15" s="649" t="s">
        <v>12</v>
      </c>
      <c r="B15" s="650"/>
      <c r="C15" s="21"/>
      <c r="D15" s="21"/>
      <c r="E15" s="647">
        <f t="shared" si="0"/>
        <v>0</v>
      </c>
      <c r="F15" s="21"/>
      <c r="G15" s="450"/>
    </row>
    <row r="16" spans="1:7" ht="15" customHeight="1" x14ac:dyDescent="0.2">
      <c r="A16" s="649" t="s">
        <v>13</v>
      </c>
      <c r="B16" s="650"/>
      <c r="C16" s="21"/>
      <c r="D16" s="21"/>
      <c r="E16" s="647">
        <f t="shared" si="0"/>
        <v>0</v>
      </c>
      <c r="F16" s="21"/>
      <c r="G16" s="450"/>
    </row>
    <row r="17" spans="1:7" ht="15" customHeight="1" x14ac:dyDescent="0.2">
      <c r="A17" s="649" t="s">
        <v>14</v>
      </c>
      <c r="B17" s="650"/>
      <c r="C17" s="21"/>
      <c r="D17" s="21"/>
      <c r="E17" s="647">
        <f t="shared" si="0"/>
        <v>0</v>
      </c>
      <c r="F17" s="21"/>
      <c r="G17" s="450"/>
    </row>
    <row r="18" spans="1:7" ht="15" customHeight="1" x14ac:dyDescent="0.2">
      <c r="A18" s="649" t="s">
        <v>15</v>
      </c>
      <c r="B18" s="650"/>
      <c r="C18" s="21"/>
      <c r="D18" s="21"/>
      <c r="E18" s="647">
        <f t="shared" si="0"/>
        <v>0</v>
      </c>
      <c r="F18" s="21"/>
      <c r="G18" s="450"/>
    </row>
    <row r="19" spans="1:7" ht="15" customHeight="1" x14ac:dyDescent="0.2">
      <c r="A19" s="649" t="s">
        <v>16</v>
      </c>
      <c r="B19" s="650"/>
      <c r="C19" s="21"/>
      <c r="D19" s="21"/>
      <c r="E19" s="647">
        <f t="shared" si="0"/>
        <v>0</v>
      </c>
      <c r="F19" s="21"/>
      <c r="G19" s="450"/>
    </row>
    <row r="20" spans="1:7" ht="15" customHeight="1" x14ac:dyDescent="0.2">
      <c r="A20" s="649" t="s">
        <v>17</v>
      </c>
      <c r="B20" s="650"/>
      <c r="C20" s="21"/>
      <c r="D20" s="21"/>
      <c r="E20" s="647">
        <f t="shared" si="0"/>
        <v>0</v>
      </c>
      <c r="F20" s="21"/>
      <c r="G20" s="450"/>
    </row>
    <row r="21" spans="1:7" ht="15" customHeight="1" x14ac:dyDescent="0.2">
      <c r="A21" s="649" t="s">
        <v>18</v>
      </c>
      <c r="B21" s="650"/>
      <c r="C21" s="21"/>
      <c r="D21" s="21"/>
      <c r="E21" s="647">
        <f t="shared" si="0"/>
        <v>0</v>
      </c>
      <c r="F21" s="21"/>
      <c r="G21" s="450"/>
    </row>
    <row r="22" spans="1:7" ht="15" customHeight="1" x14ac:dyDescent="0.2">
      <c r="A22" s="649" t="s">
        <v>19</v>
      </c>
      <c r="B22" s="650"/>
      <c r="C22" s="21"/>
      <c r="D22" s="21"/>
      <c r="E22" s="647">
        <f t="shared" si="0"/>
        <v>0</v>
      </c>
      <c r="F22" s="21"/>
      <c r="G22" s="450"/>
    </row>
    <row r="23" spans="1:7" ht="15" customHeight="1" x14ac:dyDescent="0.2">
      <c r="A23" s="649" t="s">
        <v>20</v>
      </c>
      <c r="B23" s="650"/>
      <c r="C23" s="21"/>
      <c r="D23" s="21"/>
      <c r="E23" s="647">
        <f t="shared" si="0"/>
        <v>0</v>
      </c>
      <c r="F23" s="21"/>
      <c r="G23" s="450"/>
    </row>
    <row r="24" spans="1:7" ht="15" customHeight="1" x14ac:dyDescent="0.2">
      <c r="A24" s="649" t="s">
        <v>21</v>
      </c>
      <c r="B24" s="650"/>
      <c r="C24" s="21"/>
      <c r="D24" s="21"/>
      <c r="E24" s="647">
        <f t="shared" si="0"/>
        <v>0</v>
      </c>
      <c r="F24" s="21"/>
      <c r="G24" s="450"/>
    </row>
    <row r="25" spans="1:7" ht="15" customHeight="1" x14ac:dyDescent="0.2">
      <c r="A25" s="649" t="s">
        <v>22</v>
      </c>
      <c r="B25" s="650"/>
      <c r="C25" s="21"/>
      <c r="D25" s="21"/>
      <c r="E25" s="647">
        <f t="shared" si="0"/>
        <v>0</v>
      </c>
      <c r="F25" s="21"/>
      <c r="G25" s="450"/>
    </row>
    <row r="26" spans="1:7" ht="15" customHeight="1" x14ac:dyDescent="0.2">
      <c r="A26" s="649" t="s">
        <v>23</v>
      </c>
      <c r="B26" s="650"/>
      <c r="C26" s="21"/>
      <c r="D26" s="21"/>
      <c r="E26" s="647">
        <f t="shared" si="0"/>
        <v>0</v>
      </c>
      <c r="F26" s="21"/>
      <c r="G26" s="450"/>
    </row>
    <row r="27" spans="1:7" ht="15" customHeight="1" x14ac:dyDescent="0.2">
      <c r="A27" s="649" t="s">
        <v>24</v>
      </c>
      <c r="B27" s="650"/>
      <c r="C27" s="21"/>
      <c r="D27" s="21"/>
      <c r="E27" s="647">
        <f t="shared" si="0"/>
        <v>0</v>
      </c>
      <c r="F27" s="21"/>
      <c r="G27" s="450"/>
    </row>
    <row r="28" spans="1:7" ht="15" customHeight="1" thickBot="1" x14ac:dyDescent="0.25">
      <c r="A28" s="649" t="s">
        <v>25</v>
      </c>
      <c r="B28" s="650"/>
      <c r="C28" s="21"/>
      <c r="D28" s="21"/>
      <c r="E28" s="647">
        <f t="shared" si="0"/>
        <v>0</v>
      </c>
      <c r="F28" s="21"/>
      <c r="G28" s="450"/>
    </row>
    <row r="29" spans="1:7" ht="15" customHeight="1" thickBot="1" x14ac:dyDescent="0.25">
      <c r="A29" s="876" t="s">
        <v>37</v>
      </c>
      <c r="B29" s="877"/>
      <c r="C29" s="37">
        <f>SUM(C9:C28)</f>
        <v>111235577</v>
      </c>
      <c r="D29" s="37">
        <f>SUM(D9:D28)</f>
        <v>0</v>
      </c>
      <c r="E29" s="37">
        <f>SUM(E9:E28)</f>
        <v>111235577</v>
      </c>
      <c r="F29" s="37">
        <f>SUM(F9:F28)</f>
        <v>0</v>
      </c>
      <c r="G29" s="38">
        <f>SUM(G9:G28)</f>
        <v>0</v>
      </c>
    </row>
  </sheetData>
  <mergeCells count="8">
    <mergeCell ref="A29:B29"/>
    <mergeCell ref="A3:G3"/>
    <mergeCell ref="A1:G1"/>
    <mergeCell ref="A6:A7"/>
    <mergeCell ref="B6:B7"/>
    <mergeCell ref="C6:C7"/>
    <mergeCell ref="D6:D7"/>
    <mergeCell ref="E6:G6"/>
  </mergeCells>
  <printOptions horizontalCentered="1"/>
  <pageMargins left="0.78740157480314965" right="0.78740157480314965" top="1.0390625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&amp;R&amp;"Times New Roman CE,Félkövér dőlt"&amp;12 </oddHead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3BB58-D59C-4364-B64C-C33460C227C9}">
  <sheetPr>
    <tabColor theme="5"/>
    <pageSetUpPr fitToPage="1"/>
  </sheetPr>
  <dimension ref="A1:F26"/>
  <sheetViews>
    <sheetView zoomScale="120" zoomScaleNormal="120" zoomScalePageLayoutView="120" workbookViewId="0">
      <selection activeCell="E12" sqref="E12"/>
    </sheetView>
  </sheetViews>
  <sheetFormatPr defaultRowHeight="12.75" x14ac:dyDescent="0.2"/>
  <cols>
    <col min="1" max="1" width="13.83203125" style="31" customWidth="1"/>
    <col min="2" max="2" width="88.6640625" style="31" customWidth="1"/>
    <col min="3" max="5" width="15.83203125" style="31" customWidth="1"/>
    <col min="6" max="6" width="4.83203125" style="638" customWidth="1"/>
    <col min="7" max="16384" width="9.33203125" style="31"/>
  </cols>
  <sheetData>
    <row r="1" spans="1:6" ht="47.25" customHeight="1" x14ac:dyDescent="0.2">
      <c r="A1" s="784"/>
      <c r="B1" s="888" t="str">
        <f>CONCATENATE(Z_ALAPADATOK!B1,". évi általános működés és ágazati feladatok támogatásának alakulása jogcímenként")</f>
        <v>2021. évi általános működés és ágazati feladatok támogatásának alakulása jogcímenként</v>
      </c>
      <c r="C1" s="888"/>
      <c r="D1" s="888"/>
      <c r="E1" s="888"/>
      <c r="F1" s="889" t="str">
        <f>CONCATENATE("8. melléklet ",Z_ALAPADATOK!A7," ",Z_ALAPADATOK!B7," ",Z_ALAPADATOK!C7," ",Z_ALAPADATOK!D7," ",Z_ALAPADATOK!E7," ",Z_ALAPADATOK!F7," ",Z_ALAPADATOK!G7," ",Z_ALAPADATOK!H7)</f>
        <v>8. melléklet a … / 2022. ( … ) önkormányzati rendelethez</v>
      </c>
    </row>
    <row r="2" spans="1:6" ht="22.5" customHeight="1" thickBot="1" x14ac:dyDescent="0.25">
      <c r="A2" s="784"/>
      <c r="B2" s="890"/>
      <c r="C2" s="890"/>
      <c r="D2" s="890"/>
      <c r="E2" s="785" t="s">
        <v>827</v>
      </c>
      <c r="F2" s="889"/>
    </row>
    <row r="3" spans="1:6" s="32" customFormat="1" ht="54" customHeight="1" thickBot="1" x14ac:dyDescent="0.25">
      <c r="A3" s="786" t="s">
        <v>940</v>
      </c>
      <c r="B3" s="631" t="s">
        <v>828</v>
      </c>
      <c r="C3" s="632" t="str">
        <f>+CONCATENATE(Z_ALAPADATOK!B1,". évi tervezett támogatás összesen")</f>
        <v>2021. évi tervezett támogatás összesen</v>
      </c>
      <c r="D3" s="632" t="s">
        <v>829</v>
      </c>
      <c r="E3" s="633" t="s">
        <v>830</v>
      </c>
      <c r="F3" s="889"/>
    </row>
    <row r="4" spans="1:6" s="634" customFormat="1" ht="13.5" thickBot="1" x14ac:dyDescent="0.25">
      <c r="A4" s="787" t="s">
        <v>385</v>
      </c>
      <c r="B4" s="788" t="s">
        <v>386</v>
      </c>
      <c r="C4" s="789" t="s">
        <v>387</v>
      </c>
      <c r="D4" s="789" t="s">
        <v>389</v>
      </c>
      <c r="E4" s="790" t="s">
        <v>388</v>
      </c>
      <c r="F4" s="889"/>
    </row>
    <row r="5" spans="1:6" x14ac:dyDescent="0.2">
      <c r="A5" s="791" t="s">
        <v>63</v>
      </c>
      <c r="B5" s="792" t="s">
        <v>933</v>
      </c>
      <c r="C5" s="793"/>
      <c r="D5" s="794">
        <v>57872570</v>
      </c>
      <c r="E5" s="794">
        <v>57872570</v>
      </c>
      <c r="F5" s="889"/>
    </row>
    <row r="6" spans="1:6" ht="12.75" customHeight="1" x14ac:dyDescent="0.2">
      <c r="A6" s="795" t="s">
        <v>64</v>
      </c>
      <c r="B6" s="796" t="s">
        <v>934</v>
      </c>
      <c r="C6" s="793"/>
      <c r="D6" s="794">
        <v>54207000</v>
      </c>
      <c r="E6" s="794">
        <v>54207000</v>
      </c>
      <c r="F6" s="889"/>
    </row>
    <row r="7" spans="1:6" x14ac:dyDescent="0.2">
      <c r="A7" s="795" t="s">
        <v>65</v>
      </c>
      <c r="B7" s="796" t="s">
        <v>935</v>
      </c>
      <c r="C7" s="793"/>
      <c r="D7" s="794">
        <v>33034120</v>
      </c>
      <c r="E7" s="794">
        <v>33034120</v>
      </c>
      <c r="F7" s="889"/>
    </row>
    <row r="8" spans="1:6" x14ac:dyDescent="0.2">
      <c r="A8" s="795" t="s">
        <v>66</v>
      </c>
      <c r="B8" s="796" t="s">
        <v>936</v>
      </c>
      <c r="C8" s="793"/>
      <c r="D8" s="794">
        <v>23317906</v>
      </c>
      <c r="E8" s="794">
        <v>23317906</v>
      </c>
      <c r="F8" s="889"/>
    </row>
    <row r="9" spans="1:6" x14ac:dyDescent="0.2">
      <c r="A9" s="795" t="s">
        <v>96</v>
      </c>
      <c r="B9" s="796" t="s">
        <v>937</v>
      </c>
      <c r="C9" s="793"/>
      <c r="D9" s="794">
        <v>5155422</v>
      </c>
      <c r="E9" s="794">
        <v>5155422</v>
      </c>
      <c r="F9" s="889"/>
    </row>
    <row r="10" spans="1:6" x14ac:dyDescent="0.2">
      <c r="A10" s="795" t="s">
        <v>938</v>
      </c>
      <c r="B10" s="796" t="s">
        <v>939</v>
      </c>
      <c r="C10" s="793"/>
      <c r="D10" s="794">
        <v>-18547030</v>
      </c>
      <c r="E10" s="794">
        <v>-18547030</v>
      </c>
      <c r="F10" s="889"/>
    </row>
    <row r="11" spans="1:6" x14ac:dyDescent="0.2">
      <c r="A11" s="795"/>
      <c r="B11" s="796"/>
      <c r="C11" s="793"/>
      <c r="D11" s="794"/>
      <c r="E11" s="794"/>
      <c r="F11" s="889"/>
    </row>
    <row r="12" spans="1:6" x14ac:dyDescent="0.2">
      <c r="A12" s="795"/>
      <c r="B12" s="796"/>
      <c r="C12" s="793"/>
      <c r="D12" s="793"/>
      <c r="E12" s="794"/>
      <c r="F12" s="889"/>
    </row>
    <row r="13" spans="1:6" ht="12.95" customHeight="1" x14ac:dyDescent="0.2">
      <c r="A13" s="795"/>
      <c r="B13" s="796"/>
      <c r="C13" s="793"/>
      <c r="D13" s="793"/>
      <c r="E13" s="794"/>
      <c r="F13" s="889"/>
    </row>
    <row r="14" spans="1:6" x14ac:dyDescent="0.2">
      <c r="A14" s="795"/>
      <c r="B14" s="796"/>
      <c r="C14" s="793"/>
      <c r="D14" s="793"/>
      <c r="E14" s="794"/>
      <c r="F14" s="889"/>
    </row>
    <row r="15" spans="1:6" x14ac:dyDescent="0.2">
      <c r="A15" s="795"/>
      <c r="B15" s="796"/>
      <c r="C15" s="793"/>
      <c r="D15" s="793"/>
      <c r="E15" s="794"/>
      <c r="F15" s="889"/>
    </row>
    <row r="16" spans="1:6" x14ac:dyDescent="0.2">
      <c r="A16" s="795"/>
      <c r="B16" s="796"/>
      <c r="C16" s="793"/>
      <c r="D16" s="793"/>
      <c r="E16" s="794"/>
      <c r="F16" s="889"/>
    </row>
    <row r="17" spans="1:6" x14ac:dyDescent="0.2">
      <c r="A17" s="795"/>
      <c r="B17" s="796"/>
      <c r="C17" s="793"/>
      <c r="D17" s="793"/>
      <c r="E17" s="794"/>
      <c r="F17" s="889"/>
    </row>
    <row r="18" spans="1:6" x14ac:dyDescent="0.2">
      <c r="A18" s="795"/>
      <c r="B18" s="796"/>
      <c r="C18" s="793"/>
      <c r="D18" s="793"/>
      <c r="E18" s="794"/>
      <c r="F18" s="889"/>
    </row>
    <row r="19" spans="1:6" x14ac:dyDescent="0.2">
      <c r="A19" s="795"/>
      <c r="B19" s="796"/>
      <c r="C19" s="793"/>
      <c r="D19" s="793"/>
      <c r="E19" s="794"/>
      <c r="F19" s="889"/>
    </row>
    <row r="20" spans="1:6" x14ac:dyDescent="0.2">
      <c r="A20" s="795"/>
      <c r="B20" s="796"/>
      <c r="C20" s="793"/>
      <c r="D20" s="793"/>
      <c r="E20" s="794"/>
      <c r="F20" s="889"/>
    </row>
    <row r="21" spans="1:6" x14ac:dyDescent="0.2">
      <c r="A21" s="795"/>
      <c r="B21" s="796"/>
      <c r="C21" s="793"/>
      <c r="D21" s="793"/>
      <c r="E21" s="794"/>
      <c r="F21" s="889"/>
    </row>
    <row r="22" spans="1:6" x14ac:dyDescent="0.2">
      <c r="A22" s="795"/>
      <c r="B22" s="796"/>
      <c r="C22" s="793"/>
      <c r="D22" s="793"/>
      <c r="E22" s="794"/>
      <c r="F22" s="889"/>
    </row>
    <row r="23" spans="1:6" x14ac:dyDescent="0.2">
      <c r="A23" s="795"/>
      <c r="B23" s="796"/>
      <c r="C23" s="793"/>
      <c r="D23" s="793"/>
      <c r="E23" s="794"/>
      <c r="F23" s="889"/>
    </row>
    <row r="24" spans="1:6" ht="13.5" thickBot="1" x14ac:dyDescent="0.25">
      <c r="A24" s="797"/>
      <c r="B24" s="798"/>
      <c r="C24" s="799"/>
      <c r="D24" s="799"/>
      <c r="E24" s="794"/>
      <c r="F24" s="889"/>
    </row>
    <row r="25" spans="1:6" s="637" customFormat="1" ht="19.5" customHeight="1" thickBot="1" x14ac:dyDescent="0.25">
      <c r="A25" s="800"/>
      <c r="B25" s="635" t="s">
        <v>37</v>
      </c>
      <c r="C25" s="636">
        <f>SUM(C5:C24)</f>
        <v>0</v>
      </c>
      <c r="D25" s="636">
        <f>SUM(D5:D24)</f>
        <v>155039988</v>
      </c>
      <c r="E25" s="801">
        <f>SUM(E5:E24)</f>
        <v>155039988</v>
      </c>
      <c r="F25" s="889"/>
    </row>
    <row r="26" spans="1:6" x14ac:dyDescent="0.2">
      <c r="A26" s="891" t="s">
        <v>871</v>
      </c>
      <c r="B26" s="891"/>
    </row>
  </sheetData>
  <mergeCells count="4">
    <mergeCell ref="B1:E1"/>
    <mergeCell ref="F1:F25"/>
    <mergeCell ref="B2:D2"/>
    <mergeCell ref="A26:B26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93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BA5C-C2D9-4BED-AF24-32A662D3F486}">
  <sheetPr>
    <tabColor theme="5"/>
  </sheetPr>
  <dimension ref="A1:I167"/>
  <sheetViews>
    <sheetView view="pageBreakPreview" topLeftCell="A78" zoomScaleNormal="120" zoomScaleSheetLayoutView="100" workbookViewId="0">
      <selection activeCell="E150" sqref="E150"/>
    </sheetView>
  </sheetViews>
  <sheetFormatPr defaultRowHeight="15.75" x14ac:dyDescent="0.25"/>
  <cols>
    <col min="1" max="1" width="9" style="157" customWidth="1"/>
    <col min="2" max="2" width="68.83203125" style="157" customWidth="1"/>
    <col min="3" max="3" width="18.83203125" style="157" customWidth="1"/>
    <col min="4" max="5" width="18.83203125" style="158" customWidth="1"/>
    <col min="6" max="16384" width="9.33203125" style="179"/>
  </cols>
  <sheetData>
    <row r="1" spans="1:5" x14ac:dyDescent="0.25">
      <c r="A1" s="814" t="str">
        <f>CONCATENATE("1. tájékoztató tábla ",Z_ALAPADATOK!A7," ",Z_ALAPADATOK!B7," ",Z_ALAPADATOK!C7," ",Z_ALAPADATOK!D7," ",Z_ALAPADATOK!E7," ",Z_ALAPADATOK!F7," ",Z_ALAPADATOK!G7," ",Z_ALAPADATOK!H7)</f>
        <v>1. tájékoztató tábla a … / 2022. ( … ) önkormányzati rendelethez</v>
      </c>
      <c r="B1" s="815"/>
      <c r="C1" s="815"/>
      <c r="D1" s="815"/>
      <c r="E1" s="815"/>
    </row>
    <row r="2" spans="1:5" x14ac:dyDescent="0.25">
      <c r="A2" s="816" t="str">
        <f>CONCATENATE(Z_ALAPADATOK!A3)</f>
        <v>Sajószöged Községi Önkormányzat</v>
      </c>
      <c r="B2" s="817"/>
      <c r="C2" s="817"/>
      <c r="D2" s="817"/>
      <c r="E2" s="817"/>
    </row>
    <row r="3" spans="1:5" x14ac:dyDescent="0.25">
      <c r="A3" s="816" t="str">
        <f>CONCATENATE(Z_ALAPADATOK!B1,". ÉVI ZÁRSZÁMADÁSÁNAK PÉNZÜGYI MÉRLEGE")</f>
        <v>2021. ÉVI ZÁRSZÁMADÁSÁNAK PÉNZÜGYI MÉRLEGE</v>
      </c>
      <c r="B3" s="817"/>
      <c r="C3" s="817"/>
      <c r="D3" s="817"/>
      <c r="E3" s="817"/>
    </row>
    <row r="4" spans="1:5" ht="15.95" customHeight="1" x14ac:dyDescent="0.25">
      <c r="A4" s="828" t="s">
        <v>3</v>
      </c>
      <c r="B4" s="828"/>
      <c r="C4" s="828"/>
      <c r="D4" s="828"/>
      <c r="E4" s="828"/>
    </row>
    <row r="5" spans="1:5" ht="15.95" customHeight="1" thickBot="1" x14ac:dyDescent="0.3">
      <c r="A5" s="580" t="s">
        <v>99</v>
      </c>
      <c r="B5" s="580"/>
      <c r="C5" s="580"/>
      <c r="D5" s="581"/>
      <c r="E5" s="581" t="str">
        <f>CONCATENATE('Z_6.12.3.sz.mell'!E4)</f>
        <v xml:space="preserve"> Forintban!</v>
      </c>
    </row>
    <row r="6" spans="1:5" ht="15.95" customHeight="1" x14ac:dyDescent="0.25">
      <c r="A6" s="897" t="s">
        <v>51</v>
      </c>
      <c r="B6" s="899" t="s">
        <v>5</v>
      </c>
      <c r="C6" s="901" t="str">
        <f>CONCATENATE(Z_ALAPADATOK!B1-1," évi tény")</f>
        <v>2020 évi tény</v>
      </c>
      <c r="D6" s="903" t="str">
        <f>CONCATENATE(Z_ALAPADATOK!B1,". évi")</f>
        <v>2021. évi</v>
      </c>
      <c r="E6" s="904"/>
    </row>
    <row r="7" spans="1:5" ht="38.1" customHeight="1" thickBot="1" x14ac:dyDescent="0.3">
      <c r="A7" s="898"/>
      <c r="B7" s="900"/>
      <c r="C7" s="902"/>
      <c r="D7" s="582" t="s">
        <v>449</v>
      </c>
      <c r="E7" s="313" t="s">
        <v>445</v>
      </c>
    </row>
    <row r="8" spans="1:5" s="180" customFormat="1" ht="12" customHeight="1" thickBot="1" x14ac:dyDescent="0.25">
      <c r="A8" s="583" t="s">
        <v>385</v>
      </c>
      <c r="B8" s="584" t="s">
        <v>386</v>
      </c>
      <c r="C8" s="584" t="s">
        <v>387</v>
      </c>
      <c r="D8" s="584" t="s">
        <v>388</v>
      </c>
      <c r="E8" s="585" t="s">
        <v>390</v>
      </c>
    </row>
    <row r="9" spans="1:5" s="181" customFormat="1" ht="12" customHeight="1" thickBot="1" x14ac:dyDescent="0.25">
      <c r="A9" s="18" t="s">
        <v>6</v>
      </c>
      <c r="B9" s="371" t="s">
        <v>161</v>
      </c>
      <c r="C9" s="169">
        <f>+C10+C11+C12+C13+C14+C15</f>
        <v>124165527</v>
      </c>
      <c r="D9" s="169">
        <f>+D10+D11+D12+D13+D14+D15</f>
        <v>192219846</v>
      </c>
      <c r="E9" s="105">
        <f>+E10+E11+E12+E13+E14+E15</f>
        <v>192219846</v>
      </c>
    </row>
    <row r="10" spans="1:5" s="181" customFormat="1" ht="12" customHeight="1" x14ac:dyDescent="0.2">
      <c r="A10" s="13" t="s">
        <v>63</v>
      </c>
      <c r="B10" s="372" t="s">
        <v>162</v>
      </c>
      <c r="C10" s="171">
        <v>29905865</v>
      </c>
      <c r="D10" s="171">
        <f>'Z_1.1.sz.mell.'!D12</f>
        <v>57872570</v>
      </c>
      <c r="E10" s="107">
        <f>'Z_1.1.sz.mell.'!E12</f>
        <v>57872570</v>
      </c>
    </row>
    <row r="11" spans="1:5" s="181" customFormat="1" ht="12" customHeight="1" x14ac:dyDescent="0.2">
      <c r="A11" s="12" t="s">
        <v>64</v>
      </c>
      <c r="B11" s="373" t="s">
        <v>163</v>
      </c>
      <c r="C11" s="170">
        <v>51617880</v>
      </c>
      <c r="D11" s="170">
        <f>'Z_1.1.sz.mell.'!D13</f>
        <v>54207000</v>
      </c>
      <c r="E11" s="106">
        <f>'Z_1.1.sz.mell.'!E13</f>
        <v>54207000</v>
      </c>
    </row>
    <row r="12" spans="1:5" s="181" customFormat="1" ht="12" customHeight="1" x14ac:dyDescent="0.2">
      <c r="A12" s="12" t="s">
        <v>65</v>
      </c>
      <c r="B12" s="373" t="s">
        <v>164</v>
      </c>
      <c r="C12" s="170">
        <v>34946037</v>
      </c>
      <c r="D12" s="170">
        <f>'Z_1.1.sz.mell.'!D14</f>
        <v>57091483</v>
      </c>
      <c r="E12" s="106">
        <f>'Z_1.1.sz.mell.'!E14</f>
        <v>57091483</v>
      </c>
    </row>
    <row r="13" spans="1:5" s="181" customFormat="1" ht="12" customHeight="1" x14ac:dyDescent="0.2">
      <c r="A13" s="12" t="s">
        <v>66</v>
      </c>
      <c r="B13" s="373" t="s">
        <v>165</v>
      </c>
      <c r="C13" s="170">
        <v>4522170</v>
      </c>
      <c r="D13" s="170">
        <f>'Z_1.1.sz.mell.'!D15</f>
        <v>5155422</v>
      </c>
      <c r="E13" s="106">
        <f>'Z_1.1.sz.mell.'!E15</f>
        <v>5155422</v>
      </c>
    </row>
    <row r="14" spans="1:5" s="181" customFormat="1" ht="12" customHeight="1" x14ac:dyDescent="0.2">
      <c r="A14" s="12" t="s">
        <v>96</v>
      </c>
      <c r="B14" s="373" t="s">
        <v>333</v>
      </c>
      <c r="C14" s="374">
        <v>1504950</v>
      </c>
      <c r="D14" s="170">
        <f>'Z_1.1.sz.mell.'!D16</f>
        <v>17711650</v>
      </c>
      <c r="E14" s="106">
        <f>'Z_1.1.sz.mell.'!E16</f>
        <v>17711650</v>
      </c>
    </row>
    <row r="15" spans="1:5" s="181" customFormat="1" ht="12" customHeight="1" thickBot="1" x14ac:dyDescent="0.25">
      <c r="A15" s="14" t="s">
        <v>67</v>
      </c>
      <c r="B15" s="375" t="s">
        <v>334</v>
      </c>
      <c r="C15" s="376">
        <v>1668625</v>
      </c>
      <c r="D15" s="172">
        <f>'Z_1.1.sz.mell.'!D17</f>
        <v>181721</v>
      </c>
      <c r="E15" s="108">
        <f>'Z_1.1.sz.mell.'!E17</f>
        <v>181721</v>
      </c>
    </row>
    <row r="16" spans="1:5" s="181" customFormat="1" ht="12" customHeight="1" thickBot="1" x14ac:dyDescent="0.25">
      <c r="A16" s="18" t="s">
        <v>7</v>
      </c>
      <c r="B16" s="377" t="s">
        <v>166</v>
      </c>
      <c r="C16" s="169">
        <f>+C17+C18+C19+C20+C21</f>
        <v>15264625</v>
      </c>
      <c r="D16" s="169">
        <f>+D17+D18+D19+D20+D21</f>
        <v>11374380</v>
      </c>
      <c r="E16" s="105">
        <f>+E17+E18+E19+E20+E21</f>
        <v>12365299</v>
      </c>
    </row>
    <row r="17" spans="1:5" s="181" customFormat="1" ht="12" customHeight="1" x14ac:dyDescent="0.2">
      <c r="A17" s="13" t="s">
        <v>69</v>
      </c>
      <c r="B17" s="372" t="s">
        <v>167</v>
      </c>
      <c r="C17" s="171"/>
      <c r="D17" s="171">
        <f>'Z_1.1.sz.mell.'!D19</f>
        <v>0</v>
      </c>
      <c r="E17" s="107">
        <f>'Z_1.1.sz.mell.'!E19</f>
        <v>0</v>
      </c>
    </row>
    <row r="18" spans="1:5" s="181" customFormat="1" ht="12" customHeight="1" x14ac:dyDescent="0.2">
      <c r="A18" s="12" t="s">
        <v>70</v>
      </c>
      <c r="B18" s="373" t="s">
        <v>168</v>
      </c>
      <c r="C18" s="170"/>
      <c r="D18" s="170">
        <f>'Z_1.1.sz.mell.'!D20</f>
        <v>0</v>
      </c>
      <c r="E18" s="106">
        <f>'Z_1.1.sz.mell.'!E20</f>
        <v>0</v>
      </c>
    </row>
    <row r="19" spans="1:5" s="181" customFormat="1" ht="12" customHeight="1" x14ac:dyDescent="0.2">
      <c r="A19" s="12" t="s">
        <v>71</v>
      </c>
      <c r="B19" s="373" t="s">
        <v>325</v>
      </c>
      <c r="C19" s="170"/>
      <c r="D19" s="170">
        <f>'Z_1.1.sz.mell.'!D21</f>
        <v>0</v>
      </c>
      <c r="E19" s="106">
        <f>'Z_1.1.sz.mell.'!E21</f>
        <v>0</v>
      </c>
    </row>
    <row r="20" spans="1:5" s="181" customFormat="1" ht="12" customHeight="1" x14ac:dyDescent="0.2">
      <c r="A20" s="12" t="s">
        <v>72</v>
      </c>
      <c r="B20" s="373" t="s">
        <v>326</v>
      </c>
      <c r="C20" s="170"/>
      <c r="D20" s="170">
        <f>'Z_1.1.sz.mell.'!D22</f>
        <v>0</v>
      </c>
      <c r="E20" s="106">
        <f>'Z_1.1.sz.mell.'!E22</f>
        <v>0</v>
      </c>
    </row>
    <row r="21" spans="1:5" s="181" customFormat="1" ht="12" customHeight="1" x14ac:dyDescent="0.2">
      <c r="A21" s="12" t="s">
        <v>73</v>
      </c>
      <c r="B21" s="373" t="s">
        <v>169</v>
      </c>
      <c r="C21" s="173">
        <v>15264625</v>
      </c>
      <c r="D21" s="170">
        <f>'Z_1.1.sz.mell.'!D23</f>
        <v>11374380</v>
      </c>
      <c r="E21" s="106">
        <f>'Z_1.1.sz.mell.'!E23</f>
        <v>12365299</v>
      </c>
    </row>
    <row r="22" spans="1:5" s="181" customFormat="1" ht="12" customHeight="1" thickBot="1" x14ac:dyDescent="0.25">
      <c r="A22" s="14" t="s">
        <v>80</v>
      </c>
      <c r="B22" s="375" t="s">
        <v>170</v>
      </c>
      <c r="C22" s="172"/>
      <c r="D22" s="172">
        <f>'Z_1.1.sz.mell.'!D24</f>
        <v>0</v>
      </c>
      <c r="E22" s="108">
        <f>'Z_1.1.sz.mell.'!E24</f>
        <v>0</v>
      </c>
    </row>
    <row r="23" spans="1:5" s="181" customFormat="1" ht="12" customHeight="1" thickBot="1" x14ac:dyDescent="0.25">
      <c r="A23" s="18" t="s">
        <v>8</v>
      </c>
      <c r="B23" s="371" t="s">
        <v>171</v>
      </c>
      <c r="C23" s="169">
        <f>+C24+C25+C26+C27+C28</f>
        <v>120405994</v>
      </c>
      <c r="D23" s="169">
        <f>+D24+D25+D26+D27+D28</f>
        <v>119719194</v>
      </c>
      <c r="E23" s="105">
        <f>+E24+E25+E26+E27+E28</f>
        <v>89719194</v>
      </c>
    </row>
    <row r="24" spans="1:5" s="181" customFormat="1" ht="12" customHeight="1" x14ac:dyDescent="0.2">
      <c r="A24" s="13" t="s">
        <v>52</v>
      </c>
      <c r="B24" s="372" t="s">
        <v>172</v>
      </c>
      <c r="C24" s="171"/>
      <c r="D24" s="171">
        <f>'Z_1.1.sz.mell.'!D26</f>
        <v>0</v>
      </c>
      <c r="E24" s="107">
        <f>'Z_1.1.sz.mell.'!E26</f>
        <v>0</v>
      </c>
    </row>
    <row r="25" spans="1:5" s="181" customFormat="1" ht="12" customHeight="1" x14ac:dyDescent="0.2">
      <c r="A25" s="12" t="s">
        <v>53</v>
      </c>
      <c r="B25" s="373" t="s">
        <v>173</v>
      </c>
      <c r="C25" s="170"/>
      <c r="D25" s="170">
        <f>'Z_1.1.sz.mell.'!D27</f>
        <v>0</v>
      </c>
      <c r="E25" s="106">
        <f>'Z_1.1.sz.mell.'!E27</f>
        <v>0</v>
      </c>
    </row>
    <row r="26" spans="1:5" s="181" customFormat="1" ht="12" customHeight="1" x14ac:dyDescent="0.2">
      <c r="A26" s="12" t="s">
        <v>54</v>
      </c>
      <c r="B26" s="373" t="s">
        <v>327</v>
      </c>
      <c r="C26" s="170"/>
      <c r="D26" s="170">
        <f>'Z_1.1.sz.mell.'!D28</f>
        <v>0</v>
      </c>
      <c r="E26" s="106">
        <f>'Z_1.1.sz.mell.'!E28</f>
        <v>0</v>
      </c>
    </row>
    <row r="27" spans="1:5" s="181" customFormat="1" ht="12" customHeight="1" x14ac:dyDescent="0.2">
      <c r="A27" s="12" t="s">
        <v>55</v>
      </c>
      <c r="B27" s="373" t="s">
        <v>328</v>
      </c>
      <c r="C27" s="170"/>
      <c r="D27" s="170">
        <f>'Z_1.1.sz.mell.'!D29</f>
        <v>0</v>
      </c>
      <c r="E27" s="106">
        <f>'Z_1.1.sz.mell.'!E29</f>
        <v>0</v>
      </c>
    </row>
    <row r="28" spans="1:5" s="181" customFormat="1" ht="12" customHeight="1" x14ac:dyDescent="0.2">
      <c r="A28" s="12" t="s">
        <v>109</v>
      </c>
      <c r="B28" s="373" t="s">
        <v>174</v>
      </c>
      <c r="C28" s="170">
        <v>120405994</v>
      </c>
      <c r="D28" s="170">
        <f>'Z_1.1.sz.mell.'!D30</f>
        <v>119719194</v>
      </c>
      <c r="E28" s="106">
        <f>'Z_1.1.sz.mell.'!E30</f>
        <v>89719194</v>
      </c>
    </row>
    <row r="29" spans="1:5" s="181" customFormat="1" ht="12" customHeight="1" thickBot="1" x14ac:dyDescent="0.25">
      <c r="A29" s="14" t="s">
        <v>110</v>
      </c>
      <c r="B29" s="375" t="s">
        <v>175</v>
      </c>
      <c r="C29" s="170">
        <v>117478820</v>
      </c>
      <c r="D29" s="172">
        <f>'Z_1.1.sz.mell.'!D31</f>
        <v>119719194</v>
      </c>
      <c r="E29" s="108">
        <f>'Z_1.1.sz.mell.'!E31</f>
        <v>89719194</v>
      </c>
    </row>
    <row r="30" spans="1:5" s="181" customFormat="1" ht="12" customHeight="1" thickBot="1" x14ac:dyDescent="0.25">
      <c r="A30" s="25" t="s">
        <v>111</v>
      </c>
      <c r="B30" s="19" t="s">
        <v>524</v>
      </c>
      <c r="C30" s="175">
        <f>SUM(C31:C37)</f>
        <v>233952156</v>
      </c>
      <c r="D30" s="175">
        <f>SUM(D31:D37)</f>
        <v>213060000</v>
      </c>
      <c r="E30" s="211">
        <f>SUM(E31:E37)</f>
        <v>223901819</v>
      </c>
    </row>
    <row r="31" spans="1:5" s="181" customFormat="1" ht="12" customHeight="1" x14ac:dyDescent="0.2">
      <c r="A31" s="199" t="s">
        <v>176</v>
      </c>
      <c r="B31" s="182" t="s">
        <v>476</v>
      </c>
      <c r="C31" s="171">
        <v>3173817</v>
      </c>
      <c r="D31" s="171">
        <f>'Z_1.1.sz.mell.'!D33</f>
        <v>3100000</v>
      </c>
      <c r="E31" s="107">
        <f>'Z_1.1.sz.mell.'!E33</f>
        <v>3008321</v>
      </c>
    </row>
    <row r="32" spans="1:5" s="181" customFormat="1" ht="12" customHeight="1" x14ac:dyDescent="0.2">
      <c r="A32" s="200" t="s">
        <v>177</v>
      </c>
      <c r="B32" s="182" t="s">
        <v>864</v>
      </c>
      <c r="C32" s="170"/>
      <c r="D32" s="170">
        <f>'Z_1.1.sz.mell.'!D34</f>
        <v>0</v>
      </c>
      <c r="E32" s="106">
        <f>'Z_1.1.sz.mell.'!E34</f>
        <v>0</v>
      </c>
    </row>
    <row r="33" spans="1:5" s="181" customFormat="1" ht="12" customHeight="1" x14ac:dyDescent="0.2">
      <c r="A33" s="200" t="s">
        <v>178</v>
      </c>
      <c r="B33" s="182" t="s">
        <v>477</v>
      </c>
      <c r="C33" s="170">
        <v>130021488</v>
      </c>
      <c r="D33" s="170">
        <f>'Z_1.1.sz.mell.'!D35</f>
        <v>110000000</v>
      </c>
      <c r="E33" s="106">
        <f>'Z_1.1.sz.mell.'!E35</f>
        <v>119557187</v>
      </c>
    </row>
    <row r="34" spans="1:5" s="181" customFormat="1" ht="12" customHeight="1" x14ac:dyDescent="0.2">
      <c r="A34" s="200" t="s">
        <v>179</v>
      </c>
      <c r="B34" s="182" t="s">
        <v>865</v>
      </c>
      <c r="C34" s="170">
        <v>450000</v>
      </c>
      <c r="D34" s="170">
        <f>'Z_1.1.sz.mell.'!D36</f>
        <v>350000</v>
      </c>
      <c r="E34" s="106">
        <f>'Z_1.1.sz.mell.'!E36</f>
        <v>1067520</v>
      </c>
    </row>
    <row r="35" spans="1:5" s="181" customFormat="1" ht="12" customHeight="1" x14ac:dyDescent="0.2">
      <c r="A35" s="200" t="s">
        <v>479</v>
      </c>
      <c r="B35" s="182" t="s">
        <v>180</v>
      </c>
      <c r="C35" s="170"/>
      <c r="D35" s="170">
        <f>'Z_1.1.sz.mell.'!D37</f>
        <v>0</v>
      </c>
      <c r="E35" s="106">
        <f>'Z_1.1.sz.mell.'!E37</f>
        <v>0</v>
      </c>
    </row>
    <row r="36" spans="1:5" s="181" customFormat="1" ht="12" customHeight="1" x14ac:dyDescent="0.2">
      <c r="A36" s="200" t="s">
        <v>480</v>
      </c>
      <c r="B36" s="182" t="s">
        <v>851</v>
      </c>
      <c r="C36" s="170">
        <v>99750680</v>
      </c>
      <c r="D36" s="170">
        <f>'Z_1.1.sz.mell.'!D38</f>
        <v>99000000</v>
      </c>
      <c r="E36" s="106">
        <f>'Z_1.1.sz.mell.'!E38</f>
        <v>99759980</v>
      </c>
    </row>
    <row r="37" spans="1:5" s="181" customFormat="1" ht="12" customHeight="1" thickBot="1" x14ac:dyDescent="0.25">
      <c r="A37" s="201" t="s">
        <v>481</v>
      </c>
      <c r="B37" s="182" t="s">
        <v>852</v>
      </c>
      <c r="C37" s="172">
        <f>100500+455671</f>
        <v>556171</v>
      </c>
      <c r="D37" s="172">
        <f>'Z_1.1.sz.mell.'!D39</f>
        <v>610000</v>
      </c>
      <c r="E37" s="108">
        <f>'Z_1.1.sz.mell.'!E39</f>
        <v>508811</v>
      </c>
    </row>
    <row r="38" spans="1:5" s="181" customFormat="1" ht="12" customHeight="1" thickBot="1" x14ac:dyDescent="0.25">
      <c r="A38" s="18" t="s">
        <v>10</v>
      </c>
      <c r="B38" s="371" t="s">
        <v>525</v>
      </c>
      <c r="C38" s="169">
        <f>SUM(C39:C49)</f>
        <v>57069510</v>
      </c>
      <c r="D38" s="169">
        <f>SUM(D39:D49)</f>
        <v>93760420</v>
      </c>
      <c r="E38" s="105">
        <f>SUM(E39:E49)</f>
        <v>84402367</v>
      </c>
    </row>
    <row r="39" spans="1:5" s="181" customFormat="1" ht="12" customHeight="1" x14ac:dyDescent="0.2">
      <c r="A39" s="13" t="s">
        <v>56</v>
      </c>
      <c r="B39" s="372" t="s">
        <v>183</v>
      </c>
      <c r="C39" s="171"/>
      <c r="D39" s="171">
        <f>'Z_1.1.sz.mell.'!D41</f>
        <v>0</v>
      </c>
      <c r="E39" s="107">
        <f>'Z_1.1.sz.mell.'!E41</f>
        <v>0</v>
      </c>
    </row>
    <row r="40" spans="1:5" s="181" customFormat="1" ht="12" customHeight="1" x14ac:dyDescent="0.2">
      <c r="A40" s="12" t="s">
        <v>57</v>
      </c>
      <c r="B40" s="373" t="s">
        <v>184</v>
      </c>
      <c r="C40" s="170">
        <v>13812510</v>
      </c>
      <c r="D40" s="170">
        <f>'Z_1.1.sz.mell.'!D42</f>
        <v>14157234</v>
      </c>
      <c r="E40" s="106">
        <f>'Z_1.1.sz.mell.'!E42</f>
        <v>13260118</v>
      </c>
    </row>
    <row r="41" spans="1:5" s="181" customFormat="1" ht="12" customHeight="1" x14ac:dyDescent="0.2">
      <c r="A41" s="12" t="s">
        <v>58</v>
      </c>
      <c r="B41" s="373" t="s">
        <v>185</v>
      </c>
      <c r="C41" s="170">
        <v>1401363</v>
      </c>
      <c r="D41" s="170">
        <f>'Z_1.1.sz.mell.'!D43</f>
        <v>2854860</v>
      </c>
      <c r="E41" s="106">
        <f>'Z_1.1.sz.mell.'!E43</f>
        <v>2801657</v>
      </c>
    </row>
    <row r="42" spans="1:5" s="181" customFormat="1" ht="12" customHeight="1" x14ac:dyDescent="0.2">
      <c r="A42" s="12" t="s">
        <v>113</v>
      </c>
      <c r="B42" s="373" t="s">
        <v>186</v>
      </c>
      <c r="C42" s="170">
        <v>19498664</v>
      </c>
      <c r="D42" s="170">
        <f>'Z_1.1.sz.mell.'!D44</f>
        <v>36874754</v>
      </c>
      <c r="E42" s="106">
        <f>'Z_1.1.sz.mell.'!E44</f>
        <v>33074197</v>
      </c>
    </row>
    <row r="43" spans="1:5" s="181" customFormat="1" ht="12" customHeight="1" x14ac:dyDescent="0.2">
      <c r="A43" s="12" t="s">
        <v>114</v>
      </c>
      <c r="B43" s="373" t="s">
        <v>187</v>
      </c>
      <c r="C43" s="170">
        <v>11816530</v>
      </c>
      <c r="D43" s="170">
        <f>'Z_1.1.sz.mell.'!D45</f>
        <v>18332185</v>
      </c>
      <c r="E43" s="106">
        <f>'Z_1.1.sz.mell.'!E45</f>
        <v>15440348</v>
      </c>
    </row>
    <row r="44" spans="1:5" s="181" customFormat="1" ht="12" customHeight="1" x14ac:dyDescent="0.2">
      <c r="A44" s="12" t="s">
        <v>115</v>
      </c>
      <c r="B44" s="373" t="s">
        <v>188</v>
      </c>
      <c r="C44" s="170">
        <v>10256799</v>
      </c>
      <c r="D44" s="170">
        <f>'Z_1.1.sz.mell.'!D46</f>
        <v>18549614</v>
      </c>
      <c r="E44" s="106">
        <f>'Z_1.1.sz.mell.'!E46</f>
        <v>16982009</v>
      </c>
    </row>
    <row r="45" spans="1:5" s="181" customFormat="1" ht="12" customHeight="1" x14ac:dyDescent="0.2">
      <c r="A45" s="12" t="s">
        <v>116</v>
      </c>
      <c r="B45" s="373" t="s">
        <v>189</v>
      </c>
      <c r="C45" s="170"/>
      <c r="D45" s="170">
        <f>'Z_1.1.sz.mell.'!D47</f>
        <v>2401000</v>
      </c>
      <c r="E45" s="106">
        <f>'Z_1.1.sz.mell.'!E47</f>
        <v>2401000</v>
      </c>
    </row>
    <row r="46" spans="1:5" s="181" customFormat="1" ht="12" customHeight="1" x14ac:dyDescent="0.2">
      <c r="A46" s="12" t="s">
        <v>117</v>
      </c>
      <c r="B46" s="373" t="s">
        <v>190</v>
      </c>
      <c r="C46" s="170">
        <v>72</v>
      </c>
      <c r="D46" s="170">
        <f>'Z_1.1.sz.mell.'!D48</f>
        <v>0</v>
      </c>
      <c r="E46" s="106">
        <f>'Z_1.1.sz.mell.'!E48</f>
        <v>0</v>
      </c>
    </row>
    <row r="47" spans="1:5" s="181" customFormat="1" ht="12" customHeight="1" x14ac:dyDescent="0.2">
      <c r="A47" s="12" t="s">
        <v>181</v>
      </c>
      <c r="B47" s="373" t="s">
        <v>191</v>
      </c>
      <c r="C47" s="170"/>
      <c r="D47" s="170">
        <f>'Z_1.1.sz.mell.'!D49</f>
        <v>42</v>
      </c>
      <c r="E47" s="106">
        <f>'Z_1.1.sz.mell.'!E49</f>
        <v>62</v>
      </c>
    </row>
    <row r="48" spans="1:5" s="181" customFormat="1" ht="12" customHeight="1" x14ac:dyDescent="0.2">
      <c r="A48" s="12" t="s">
        <v>182</v>
      </c>
      <c r="B48" s="373" t="s">
        <v>337</v>
      </c>
      <c r="C48" s="173"/>
      <c r="D48" s="173">
        <f>'Z_1.1.sz.mell.'!D50</f>
        <v>350000</v>
      </c>
      <c r="E48" s="109">
        <f>'Z_1.1.sz.mell.'!E50</f>
        <v>350000</v>
      </c>
    </row>
    <row r="49" spans="1:5" s="181" customFormat="1" ht="12" customHeight="1" thickBot="1" x14ac:dyDescent="0.25">
      <c r="A49" s="14" t="s">
        <v>336</v>
      </c>
      <c r="B49" s="375" t="s">
        <v>192</v>
      </c>
      <c r="C49" s="174">
        <v>283572</v>
      </c>
      <c r="D49" s="174">
        <f>'Z_1.1.sz.mell.'!D51</f>
        <v>240731</v>
      </c>
      <c r="E49" s="110">
        <f>'Z_1.1.sz.mell.'!E51</f>
        <v>92976</v>
      </c>
    </row>
    <row r="50" spans="1:5" s="181" customFormat="1" ht="12" customHeight="1" thickBot="1" x14ac:dyDescent="0.25">
      <c r="A50" s="18" t="s">
        <v>11</v>
      </c>
      <c r="B50" s="371" t="s">
        <v>193</v>
      </c>
      <c r="C50" s="169">
        <f>SUM(C51:C55)</f>
        <v>1732284</v>
      </c>
      <c r="D50" s="169">
        <f>SUM(D51:D55)</f>
        <v>26385826</v>
      </c>
      <c r="E50" s="105">
        <f>SUM(E51:E55)</f>
        <v>11385826</v>
      </c>
    </row>
    <row r="51" spans="1:5" s="181" customFormat="1" ht="12" customHeight="1" x14ac:dyDescent="0.2">
      <c r="A51" s="13" t="s">
        <v>59</v>
      </c>
      <c r="B51" s="372" t="s">
        <v>197</v>
      </c>
      <c r="C51" s="222"/>
      <c r="D51" s="222">
        <f>'Z_1.1.sz.mell.'!D53</f>
        <v>0</v>
      </c>
      <c r="E51" s="111">
        <f>'Z_1.1.sz.mell.'!E53</f>
        <v>0</v>
      </c>
    </row>
    <row r="52" spans="1:5" s="181" customFormat="1" ht="12" customHeight="1" x14ac:dyDescent="0.2">
      <c r="A52" s="12" t="s">
        <v>60</v>
      </c>
      <c r="B52" s="373" t="s">
        <v>198</v>
      </c>
      <c r="C52" s="173">
        <v>1732284</v>
      </c>
      <c r="D52" s="173">
        <f>'Z_1.1.sz.mell.'!D54</f>
        <v>6385826</v>
      </c>
      <c r="E52" s="109">
        <f>'Z_1.1.sz.mell.'!E54</f>
        <v>6385826</v>
      </c>
    </row>
    <row r="53" spans="1:5" s="181" customFormat="1" ht="12" customHeight="1" x14ac:dyDescent="0.2">
      <c r="A53" s="12" t="s">
        <v>194</v>
      </c>
      <c r="B53" s="373" t="s">
        <v>199</v>
      </c>
      <c r="C53" s="173"/>
      <c r="D53" s="173">
        <f>'Z_1.1.sz.mell.'!D55</f>
        <v>0</v>
      </c>
      <c r="E53" s="109">
        <f>'Z_1.1.sz.mell.'!E55</f>
        <v>0</v>
      </c>
    </row>
    <row r="54" spans="1:5" s="181" customFormat="1" ht="12" customHeight="1" x14ac:dyDescent="0.2">
      <c r="A54" s="12" t="s">
        <v>195</v>
      </c>
      <c r="B54" s="373" t="s">
        <v>200</v>
      </c>
      <c r="C54" s="173"/>
      <c r="D54" s="173">
        <f>'Z_1.1.sz.mell.'!D56</f>
        <v>20000000</v>
      </c>
      <c r="E54" s="109">
        <f>'Z_1.1.sz.mell.'!E56</f>
        <v>5000000</v>
      </c>
    </row>
    <row r="55" spans="1:5" s="181" customFormat="1" ht="12" customHeight="1" thickBot="1" x14ac:dyDescent="0.25">
      <c r="A55" s="14" t="s">
        <v>196</v>
      </c>
      <c r="B55" s="375" t="s">
        <v>201</v>
      </c>
      <c r="C55" s="174"/>
      <c r="D55" s="174">
        <f>'Z_1.1.sz.mell.'!D57</f>
        <v>0</v>
      </c>
      <c r="E55" s="110">
        <f>'Z_1.1.sz.mell.'!E57</f>
        <v>0</v>
      </c>
    </row>
    <row r="56" spans="1:5" s="181" customFormat="1" ht="13.5" thickBot="1" x14ac:dyDescent="0.25">
      <c r="A56" s="18" t="s">
        <v>118</v>
      </c>
      <c r="B56" s="371" t="s">
        <v>202</v>
      </c>
      <c r="C56" s="169">
        <f>SUM(C57:C59)</f>
        <v>220000</v>
      </c>
      <c r="D56" s="169">
        <f>SUM(D57:D59)</f>
        <v>0</v>
      </c>
      <c r="E56" s="105">
        <f>SUM(E57:E59)</f>
        <v>370000</v>
      </c>
    </row>
    <row r="57" spans="1:5" s="181" customFormat="1" ht="12.75" x14ac:dyDescent="0.2">
      <c r="A57" s="13" t="s">
        <v>61</v>
      </c>
      <c r="B57" s="372" t="s">
        <v>203</v>
      </c>
      <c r="C57" s="171"/>
      <c r="D57" s="170">
        <f>'Z_1.1.sz.mell.'!D59</f>
        <v>0</v>
      </c>
      <c r="E57" s="106">
        <f>'Z_1.1.sz.mell.'!E59</f>
        <v>0</v>
      </c>
    </row>
    <row r="58" spans="1:5" s="181" customFormat="1" ht="14.45" customHeight="1" x14ac:dyDescent="0.2">
      <c r="A58" s="12" t="s">
        <v>62</v>
      </c>
      <c r="B58" s="373" t="s">
        <v>526</v>
      </c>
      <c r="C58" s="170"/>
      <c r="D58" s="170">
        <f>'Z_1.1.sz.mell.'!D60</f>
        <v>0</v>
      </c>
      <c r="E58" s="106">
        <f>'Z_1.1.sz.mell.'!E60</f>
        <v>0</v>
      </c>
    </row>
    <row r="59" spans="1:5" s="181" customFormat="1" ht="12.75" x14ac:dyDescent="0.2">
      <c r="A59" s="12" t="s">
        <v>206</v>
      </c>
      <c r="B59" s="373" t="s">
        <v>204</v>
      </c>
      <c r="C59" s="173">
        <v>220000</v>
      </c>
      <c r="D59" s="170">
        <f>'Z_1.1.sz.mell.'!D61</f>
        <v>0</v>
      </c>
      <c r="E59" s="106">
        <f>'Z_1.1.sz.mell.'!E61</f>
        <v>370000</v>
      </c>
    </row>
    <row r="60" spans="1:5" s="181" customFormat="1" ht="13.5" thickBot="1" x14ac:dyDescent="0.25">
      <c r="A60" s="14" t="s">
        <v>207</v>
      </c>
      <c r="B60" s="375" t="s">
        <v>205</v>
      </c>
      <c r="C60" s="172"/>
      <c r="D60" s="170">
        <f>'Z_1.1.sz.mell.'!D62</f>
        <v>0</v>
      </c>
      <c r="E60" s="106">
        <f>'Z_1.1.sz.mell.'!E62</f>
        <v>0</v>
      </c>
    </row>
    <row r="61" spans="1:5" s="181" customFormat="1" ht="13.5" thickBot="1" x14ac:dyDescent="0.25">
      <c r="A61" s="18" t="s">
        <v>13</v>
      </c>
      <c r="B61" s="377" t="s">
        <v>208</v>
      </c>
      <c r="C61" s="169">
        <f>SUM(C62:C64)</f>
        <v>3159186</v>
      </c>
      <c r="D61" s="169">
        <f>SUM(D62:D64)</f>
        <v>1923842</v>
      </c>
      <c r="E61" s="105">
        <f>SUM(E62:E64)</f>
        <v>2042980</v>
      </c>
    </row>
    <row r="62" spans="1:5" s="181" customFormat="1" ht="12.75" x14ac:dyDescent="0.2">
      <c r="A62" s="12" t="s">
        <v>119</v>
      </c>
      <c r="B62" s="372" t="s">
        <v>210</v>
      </c>
      <c r="C62" s="173"/>
      <c r="D62" s="170">
        <f>'Z_1.1.sz.mell.'!D64</f>
        <v>0</v>
      </c>
      <c r="E62" s="106">
        <f>'Z_1.1.sz.mell.'!E64</f>
        <v>0</v>
      </c>
    </row>
    <row r="63" spans="1:5" s="181" customFormat="1" ht="12.75" customHeight="1" x14ac:dyDescent="0.2">
      <c r="A63" s="12" t="s">
        <v>120</v>
      </c>
      <c r="B63" s="373" t="s">
        <v>527</v>
      </c>
      <c r="C63" s="173">
        <v>3159186</v>
      </c>
      <c r="D63" s="170">
        <f>'Z_1.1.sz.mell.'!D65</f>
        <v>1923842</v>
      </c>
      <c r="E63" s="106">
        <f>'Z_1.1.sz.mell.'!E65</f>
        <v>2042980</v>
      </c>
    </row>
    <row r="64" spans="1:5" s="181" customFormat="1" ht="12.75" x14ac:dyDescent="0.2">
      <c r="A64" s="12" t="s">
        <v>143</v>
      </c>
      <c r="B64" s="373" t="s">
        <v>211</v>
      </c>
      <c r="C64" s="173"/>
      <c r="D64" s="170">
        <f>'Z_1.1.sz.mell.'!D66</f>
        <v>0</v>
      </c>
      <c r="E64" s="106">
        <f>'Z_1.1.sz.mell.'!E66</f>
        <v>0</v>
      </c>
    </row>
    <row r="65" spans="1:5" s="181" customFormat="1" ht="13.5" thickBot="1" x14ac:dyDescent="0.25">
      <c r="A65" s="12" t="s">
        <v>209</v>
      </c>
      <c r="B65" s="375" t="s">
        <v>212</v>
      </c>
      <c r="C65" s="173"/>
      <c r="D65" s="170">
        <f>'Z_1.1.sz.mell.'!D67</f>
        <v>0</v>
      </c>
      <c r="E65" s="106">
        <f>'Z_1.1.sz.mell.'!E67</f>
        <v>0</v>
      </c>
    </row>
    <row r="66" spans="1:5" s="181" customFormat="1" ht="13.5" thickBot="1" x14ac:dyDescent="0.25">
      <c r="A66" s="18" t="s">
        <v>14</v>
      </c>
      <c r="B66" s="371" t="s">
        <v>213</v>
      </c>
      <c r="C66" s="175">
        <f>+C9+C16+C23+C30+C38+C50+C56+C61</f>
        <v>555969282</v>
      </c>
      <c r="D66" s="175">
        <f>+D9+D16+D23+D30+D38+D50+D56+D61</f>
        <v>658443508</v>
      </c>
      <c r="E66" s="211">
        <f>+E9+E16+E23+E30+E38+E50+E56+E61</f>
        <v>616407331</v>
      </c>
    </row>
    <row r="67" spans="1:5" s="181" customFormat="1" ht="13.5" thickBot="1" x14ac:dyDescent="0.25">
      <c r="A67" s="223" t="s">
        <v>214</v>
      </c>
      <c r="B67" s="377" t="s">
        <v>528</v>
      </c>
      <c r="C67" s="169">
        <f>SUM(C68:C70)</f>
        <v>0</v>
      </c>
      <c r="D67" s="169">
        <f>SUM(D68:D70)</f>
        <v>0</v>
      </c>
      <c r="E67" s="105">
        <f>SUM(E68:E70)</f>
        <v>0</v>
      </c>
    </row>
    <row r="68" spans="1:5" s="181" customFormat="1" ht="12.75" x14ac:dyDescent="0.2">
      <c r="A68" s="12" t="s">
        <v>243</v>
      </c>
      <c r="B68" s="372" t="s">
        <v>216</v>
      </c>
      <c r="C68" s="173"/>
      <c r="D68" s="170">
        <f>'Z_1.1.sz.mell.'!D70</f>
        <v>0</v>
      </c>
      <c r="E68" s="106">
        <f>'Z_1.1.sz.mell.'!E70</f>
        <v>0</v>
      </c>
    </row>
    <row r="69" spans="1:5" s="181" customFormat="1" ht="12.75" x14ac:dyDescent="0.2">
      <c r="A69" s="12" t="s">
        <v>252</v>
      </c>
      <c r="B69" s="373" t="s">
        <v>217</v>
      </c>
      <c r="C69" s="173"/>
      <c r="D69" s="170">
        <f>'Z_1.1.sz.mell.'!D71</f>
        <v>0</v>
      </c>
      <c r="E69" s="106">
        <f>'Z_1.1.sz.mell.'!E71</f>
        <v>0</v>
      </c>
    </row>
    <row r="70" spans="1:5" s="181" customFormat="1" ht="13.5" thickBot="1" x14ac:dyDescent="0.25">
      <c r="A70" s="12" t="s">
        <v>253</v>
      </c>
      <c r="B70" s="232" t="s">
        <v>866</v>
      </c>
      <c r="C70" s="173"/>
      <c r="D70" s="170">
        <f>'Z_1.1.sz.mell.'!D72</f>
        <v>0</v>
      </c>
      <c r="E70" s="106">
        <f>'Z_1.1.sz.mell.'!E72</f>
        <v>0</v>
      </c>
    </row>
    <row r="71" spans="1:5" s="181" customFormat="1" ht="13.5" thickBot="1" x14ac:dyDescent="0.25">
      <c r="A71" s="223" t="s">
        <v>219</v>
      </c>
      <c r="B71" s="377" t="s">
        <v>220</v>
      </c>
      <c r="C71" s="169">
        <f>SUM(C72:C75)</f>
        <v>26057385</v>
      </c>
      <c r="D71" s="169">
        <f>SUM(D72:D75)</f>
        <v>0</v>
      </c>
      <c r="E71" s="105">
        <f>SUM(E72:E75)</f>
        <v>0</v>
      </c>
    </row>
    <row r="72" spans="1:5" s="181" customFormat="1" ht="12.75" x14ac:dyDescent="0.2">
      <c r="A72" s="12" t="s">
        <v>97</v>
      </c>
      <c r="B72" s="378" t="s">
        <v>221</v>
      </c>
      <c r="C72" s="173">
        <v>26057385</v>
      </c>
      <c r="D72" s="170">
        <f>'Z_1.1.sz.mell.'!D74</f>
        <v>0</v>
      </c>
      <c r="E72" s="106">
        <f>'Z_1.1.sz.mell.'!E74</f>
        <v>0</v>
      </c>
    </row>
    <row r="73" spans="1:5" s="181" customFormat="1" ht="12.75" x14ac:dyDescent="0.2">
      <c r="A73" s="12" t="s">
        <v>98</v>
      </c>
      <c r="B73" s="378" t="s">
        <v>489</v>
      </c>
      <c r="C73" s="173"/>
      <c r="D73" s="170">
        <f>'Z_1.1.sz.mell.'!D75</f>
        <v>0</v>
      </c>
      <c r="E73" s="106">
        <f>'Z_1.1.sz.mell.'!E75</f>
        <v>0</v>
      </c>
    </row>
    <row r="74" spans="1:5" s="181" customFormat="1" ht="12" customHeight="1" x14ac:dyDescent="0.2">
      <c r="A74" s="12" t="s">
        <v>244</v>
      </c>
      <c r="B74" s="378" t="s">
        <v>222</v>
      </c>
      <c r="C74" s="173"/>
      <c r="D74" s="170">
        <f>'Z_1.1.sz.mell.'!D76</f>
        <v>0</v>
      </c>
      <c r="E74" s="106">
        <f>'Z_1.1.sz.mell.'!E76</f>
        <v>0</v>
      </c>
    </row>
    <row r="75" spans="1:5" s="181" customFormat="1" ht="12" customHeight="1" thickBot="1" x14ac:dyDescent="0.25">
      <c r="A75" s="12" t="s">
        <v>245</v>
      </c>
      <c r="B75" s="379" t="s">
        <v>490</v>
      </c>
      <c r="C75" s="173"/>
      <c r="D75" s="170">
        <f>'Z_1.1.sz.mell.'!D77</f>
        <v>0</v>
      </c>
      <c r="E75" s="106">
        <f>'Z_1.1.sz.mell.'!E77</f>
        <v>0</v>
      </c>
    </row>
    <row r="76" spans="1:5" s="181" customFormat="1" ht="12" customHeight="1" thickBot="1" x14ac:dyDescent="0.25">
      <c r="A76" s="223" t="s">
        <v>223</v>
      </c>
      <c r="B76" s="377" t="s">
        <v>224</v>
      </c>
      <c r="C76" s="169">
        <f>SUM(C77:C78)</f>
        <v>68992108</v>
      </c>
      <c r="D76" s="169">
        <f>SUM(D77:D78)</f>
        <v>165080644</v>
      </c>
      <c r="E76" s="105">
        <f>SUM(E77:E78)</f>
        <v>165080644</v>
      </c>
    </row>
    <row r="77" spans="1:5" s="181" customFormat="1" ht="12" customHeight="1" x14ac:dyDescent="0.2">
      <c r="A77" s="12" t="s">
        <v>246</v>
      </c>
      <c r="B77" s="372" t="s">
        <v>225</v>
      </c>
      <c r="C77" s="173">
        <v>68992108</v>
      </c>
      <c r="D77" s="170">
        <f>'Z_1.1.sz.mell.'!D79</f>
        <v>165080644</v>
      </c>
      <c r="E77" s="106">
        <f>'Z_1.1.sz.mell.'!E79</f>
        <v>165080644</v>
      </c>
    </row>
    <row r="78" spans="1:5" s="181" customFormat="1" ht="12" customHeight="1" thickBot="1" x14ac:dyDescent="0.25">
      <c r="A78" s="12" t="s">
        <v>247</v>
      </c>
      <c r="B78" s="375" t="s">
        <v>226</v>
      </c>
      <c r="C78" s="173"/>
      <c r="D78" s="170">
        <f>'Z_1.1.sz.mell.'!D80</f>
        <v>0</v>
      </c>
      <c r="E78" s="106">
        <f>'Z_1.1.sz.mell.'!E80</f>
        <v>0</v>
      </c>
    </row>
    <row r="79" spans="1:5" s="181" customFormat="1" ht="12" customHeight="1" thickBot="1" x14ac:dyDescent="0.25">
      <c r="A79" s="223" t="s">
        <v>227</v>
      </c>
      <c r="B79" s="377" t="s">
        <v>228</v>
      </c>
      <c r="C79" s="169">
        <f>SUM(C80:C82)</f>
        <v>6755189</v>
      </c>
      <c r="D79" s="169">
        <f>SUM(D80:D82)</f>
        <v>554674</v>
      </c>
      <c r="E79" s="105">
        <f>SUM(E80:E82)</f>
        <v>7640915</v>
      </c>
    </row>
    <row r="80" spans="1:5" s="181" customFormat="1" ht="12" customHeight="1" x14ac:dyDescent="0.2">
      <c r="A80" s="12" t="s">
        <v>248</v>
      </c>
      <c r="B80" s="372" t="s">
        <v>229</v>
      </c>
      <c r="C80" s="173">
        <v>6755189</v>
      </c>
      <c r="D80" s="170">
        <f>'Z_1.1.sz.mell.'!D82</f>
        <v>554674</v>
      </c>
      <c r="E80" s="106">
        <f>'Z_1.1.sz.mell.'!E82</f>
        <v>7640915</v>
      </c>
    </row>
    <row r="81" spans="1:5" s="181" customFormat="1" ht="12" customHeight="1" x14ac:dyDescent="0.2">
      <c r="A81" s="12" t="s">
        <v>249</v>
      </c>
      <c r="B81" s="373" t="s">
        <v>230</v>
      </c>
      <c r="C81" s="173"/>
      <c r="D81" s="170">
        <f>'Z_1.1.sz.mell.'!D83</f>
        <v>0</v>
      </c>
      <c r="E81" s="106">
        <f>'Z_1.1.sz.mell.'!E83</f>
        <v>0</v>
      </c>
    </row>
    <row r="82" spans="1:5" s="181" customFormat="1" ht="12" customHeight="1" thickBot="1" x14ac:dyDescent="0.25">
      <c r="A82" s="12" t="s">
        <v>250</v>
      </c>
      <c r="B82" s="380" t="s">
        <v>529</v>
      </c>
      <c r="C82" s="173"/>
      <c r="D82" s="170">
        <f>'Z_1.1.sz.mell.'!D84</f>
        <v>0</v>
      </c>
      <c r="E82" s="106">
        <f>'Z_1.1.sz.mell.'!E84</f>
        <v>0</v>
      </c>
    </row>
    <row r="83" spans="1:5" s="181" customFormat="1" ht="12" customHeight="1" thickBot="1" x14ac:dyDescent="0.25">
      <c r="A83" s="223" t="s">
        <v>231</v>
      </c>
      <c r="B83" s="377" t="s">
        <v>251</v>
      </c>
      <c r="C83" s="169">
        <f>SUM(C84:C87)</f>
        <v>0</v>
      </c>
      <c r="D83" s="169">
        <f>SUM(D84:D87)</f>
        <v>0</v>
      </c>
      <c r="E83" s="105">
        <f>SUM(E84:E87)</f>
        <v>0</v>
      </c>
    </row>
    <row r="84" spans="1:5" s="181" customFormat="1" ht="12" customHeight="1" x14ac:dyDescent="0.2">
      <c r="A84" s="381" t="s">
        <v>232</v>
      </c>
      <c r="B84" s="372" t="s">
        <v>233</v>
      </c>
      <c r="C84" s="173"/>
      <c r="D84" s="170">
        <f>'Z_1.1.sz.mell.'!D86</f>
        <v>0</v>
      </c>
      <c r="E84" s="106">
        <f>'Z_1.1.sz.mell.'!E86</f>
        <v>0</v>
      </c>
    </row>
    <row r="85" spans="1:5" s="181" customFormat="1" ht="12" customHeight="1" x14ac:dyDescent="0.2">
      <c r="A85" s="382" t="s">
        <v>234</v>
      </c>
      <c r="B85" s="373" t="s">
        <v>235</v>
      </c>
      <c r="C85" s="173"/>
      <c r="D85" s="170">
        <f>'Z_1.1.sz.mell.'!D87</f>
        <v>0</v>
      </c>
      <c r="E85" s="106">
        <f>'Z_1.1.sz.mell.'!E87</f>
        <v>0</v>
      </c>
    </row>
    <row r="86" spans="1:5" s="181" customFormat="1" ht="12" customHeight="1" x14ac:dyDescent="0.2">
      <c r="A86" s="382" t="s">
        <v>236</v>
      </c>
      <c r="B86" s="373" t="s">
        <v>237</v>
      </c>
      <c r="C86" s="173"/>
      <c r="D86" s="170">
        <f>'Z_1.1.sz.mell.'!D88</f>
        <v>0</v>
      </c>
      <c r="E86" s="106">
        <f>'Z_1.1.sz.mell.'!E88</f>
        <v>0</v>
      </c>
    </row>
    <row r="87" spans="1:5" s="181" customFormat="1" ht="12" customHeight="1" thickBot="1" x14ac:dyDescent="0.25">
      <c r="A87" s="383" t="s">
        <v>238</v>
      </c>
      <c r="B87" s="375" t="s">
        <v>239</v>
      </c>
      <c r="C87" s="173"/>
      <c r="D87" s="170">
        <f>'Z_1.1.sz.mell.'!D89</f>
        <v>0</v>
      </c>
      <c r="E87" s="106">
        <f>'Z_1.1.sz.mell.'!E89</f>
        <v>0</v>
      </c>
    </row>
    <row r="88" spans="1:5" s="181" customFormat="1" ht="12" customHeight="1" thickBot="1" x14ac:dyDescent="0.25">
      <c r="A88" s="223" t="s">
        <v>240</v>
      </c>
      <c r="B88" s="377" t="s">
        <v>241</v>
      </c>
      <c r="C88" s="225"/>
      <c r="D88" s="225"/>
      <c r="E88" s="226"/>
    </row>
    <row r="89" spans="1:5" s="181" customFormat="1" ht="13.5" customHeight="1" thickBot="1" x14ac:dyDescent="0.25">
      <c r="A89" s="223" t="s">
        <v>242</v>
      </c>
      <c r="B89" s="384" t="s">
        <v>530</v>
      </c>
      <c r="C89" s="175">
        <f>+C67+C71+C76+C79+C83+C88</f>
        <v>101804682</v>
      </c>
      <c r="D89" s="175">
        <f>+D67+D71+D76+D79+D83+D88</f>
        <v>165635318</v>
      </c>
      <c r="E89" s="211">
        <f>+E67+E71+E76+E79+E83+E88</f>
        <v>172721559</v>
      </c>
    </row>
    <row r="90" spans="1:5" s="181" customFormat="1" ht="12" customHeight="1" thickBot="1" x14ac:dyDescent="0.25">
      <c r="A90" s="224" t="s">
        <v>254</v>
      </c>
      <c r="B90" s="385" t="s">
        <v>531</v>
      </c>
      <c r="C90" s="175">
        <f>+C66+C89</f>
        <v>657773964</v>
      </c>
      <c r="D90" s="175">
        <f>+D66+D89</f>
        <v>824078826</v>
      </c>
      <c r="E90" s="211">
        <f>+E66+E89</f>
        <v>789128890</v>
      </c>
    </row>
    <row r="91" spans="1:5" ht="16.5" customHeight="1" x14ac:dyDescent="0.25">
      <c r="A91" s="829" t="s">
        <v>34</v>
      </c>
      <c r="B91" s="829"/>
      <c r="C91" s="829"/>
      <c r="D91" s="829"/>
      <c r="E91" s="829"/>
    </row>
    <row r="92" spans="1:5" s="191" customFormat="1" ht="16.5" customHeight="1" thickBot="1" x14ac:dyDescent="0.3">
      <c r="A92" s="386" t="s">
        <v>100</v>
      </c>
      <c r="B92" s="386"/>
      <c r="C92" s="386"/>
      <c r="D92" s="63"/>
      <c r="E92" s="63" t="str">
        <f>E5</f>
        <v xml:space="preserve"> Forintban!</v>
      </c>
    </row>
    <row r="93" spans="1:5" s="191" customFormat="1" ht="16.5" customHeight="1" x14ac:dyDescent="0.25">
      <c r="A93" s="892" t="s">
        <v>51</v>
      </c>
      <c r="B93" s="825" t="s">
        <v>420</v>
      </c>
      <c r="C93" s="822" t="str">
        <f>+C6</f>
        <v>2020 évi tény</v>
      </c>
      <c r="D93" s="895" t="str">
        <f>+D6</f>
        <v>2021. évi</v>
      </c>
      <c r="E93" s="896"/>
    </row>
    <row r="94" spans="1:5" ht="38.1" customHeight="1" thickBot="1" x14ac:dyDescent="0.3">
      <c r="A94" s="893"/>
      <c r="B94" s="894"/>
      <c r="C94" s="823"/>
      <c r="D94" s="252" t="s">
        <v>449</v>
      </c>
      <c r="E94" s="370" t="s">
        <v>445</v>
      </c>
    </row>
    <row r="95" spans="1:5" s="180" customFormat="1" ht="12" customHeight="1" thickBot="1" x14ac:dyDescent="0.25">
      <c r="A95" s="25" t="s">
        <v>385</v>
      </c>
      <c r="B95" s="26" t="s">
        <v>386</v>
      </c>
      <c r="C95" s="26" t="s">
        <v>387</v>
      </c>
      <c r="D95" s="26" t="s">
        <v>388</v>
      </c>
      <c r="E95" s="387" t="s">
        <v>390</v>
      </c>
    </row>
    <row r="96" spans="1:5" ht="12" customHeight="1" thickBot="1" x14ac:dyDescent="0.3">
      <c r="A96" s="20" t="s">
        <v>6</v>
      </c>
      <c r="B96" s="24" t="s">
        <v>320</v>
      </c>
      <c r="C96" s="168">
        <f>SUM(C97:C101)</f>
        <v>396526554</v>
      </c>
      <c r="D96" s="168">
        <f>+D97+D98+D99+D100+D101+D114</f>
        <v>570614658</v>
      </c>
      <c r="E96" s="239">
        <f>+E97+E98+E99+E100+E101</f>
        <v>516600178</v>
      </c>
    </row>
    <row r="97" spans="1:5" ht="12" customHeight="1" x14ac:dyDescent="0.25">
      <c r="A97" s="15" t="s">
        <v>63</v>
      </c>
      <c r="B97" s="388" t="s">
        <v>35</v>
      </c>
      <c r="C97" s="246">
        <v>160218823</v>
      </c>
      <c r="D97" s="246">
        <f>'Z_1.1.sz.mell.'!D101</f>
        <v>209070783</v>
      </c>
      <c r="E97" s="240">
        <f>'Z_1.1.sz.mell.'!E101</f>
        <v>197439245</v>
      </c>
    </row>
    <row r="98" spans="1:5" ht="12" customHeight="1" x14ac:dyDescent="0.25">
      <c r="A98" s="12" t="s">
        <v>64</v>
      </c>
      <c r="B98" s="389" t="s">
        <v>121</v>
      </c>
      <c r="C98" s="170">
        <v>25723665</v>
      </c>
      <c r="D98" s="170">
        <f>'Z_1.1.sz.mell.'!D102</f>
        <v>34633394</v>
      </c>
      <c r="E98" s="106">
        <f>'Z_1.1.sz.mell.'!E102</f>
        <v>30009650</v>
      </c>
    </row>
    <row r="99" spans="1:5" ht="12" customHeight="1" x14ac:dyDescent="0.25">
      <c r="A99" s="12" t="s">
        <v>65</v>
      </c>
      <c r="B99" s="389" t="s">
        <v>89</v>
      </c>
      <c r="C99" s="172">
        <v>143320647</v>
      </c>
      <c r="D99" s="172">
        <f>'Z_1.1.sz.mell.'!D103</f>
        <v>215705711</v>
      </c>
      <c r="E99" s="108">
        <f>'Z_1.1.sz.mell.'!E103</f>
        <v>191010825</v>
      </c>
    </row>
    <row r="100" spans="1:5" ht="12" customHeight="1" x14ac:dyDescent="0.25">
      <c r="A100" s="12" t="s">
        <v>66</v>
      </c>
      <c r="B100" s="390" t="s">
        <v>122</v>
      </c>
      <c r="C100" s="172">
        <v>11486605</v>
      </c>
      <c r="D100" s="172">
        <f>'Z_1.1.sz.mell.'!D104</f>
        <v>12550000</v>
      </c>
      <c r="E100" s="108">
        <f>'Z_1.1.sz.mell.'!E104</f>
        <v>10715288</v>
      </c>
    </row>
    <row r="101" spans="1:5" ht="12" customHeight="1" x14ac:dyDescent="0.25">
      <c r="A101" s="12" t="s">
        <v>75</v>
      </c>
      <c r="B101" s="391" t="s">
        <v>123</v>
      </c>
      <c r="C101" s="172">
        <v>55776814</v>
      </c>
      <c r="D101" s="172">
        <f>'Z_1.1.sz.mell.'!D105</f>
        <v>91431807</v>
      </c>
      <c r="E101" s="108">
        <f>'Z_1.1.sz.mell.'!E105</f>
        <v>87425170</v>
      </c>
    </row>
    <row r="102" spans="1:5" ht="12" customHeight="1" x14ac:dyDescent="0.25">
      <c r="A102" s="12" t="s">
        <v>67</v>
      </c>
      <c r="B102" s="389" t="s">
        <v>343</v>
      </c>
      <c r="C102" s="172"/>
      <c r="D102" s="172">
        <f>'Z_1.1.sz.mell.'!D106</f>
        <v>873299</v>
      </c>
      <c r="E102" s="108">
        <f>'Z_1.1.sz.mell.'!E106</f>
        <v>873299</v>
      </c>
    </row>
    <row r="103" spans="1:5" ht="12" customHeight="1" x14ac:dyDescent="0.25">
      <c r="A103" s="12" t="s">
        <v>68</v>
      </c>
      <c r="B103" s="392" t="s">
        <v>342</v>
      </c>
      <c r="C103" s="172"/>
      <c r="D103" s="172">
        <f>'Z_1.1.sz.mell.'!D107</f>
        <v>18547030</v>
      </c>
      <c r="E103" s="108">
        <f>'Z_1.1.sz.mell.'!E107</f>
        <v>18547030</v>
      </c>
    </row>
    <row r="104" spans="1:5" ht="12" customHeight="1" x14ac:dyDescent="0.25">
      <c r="A104" s="12" t="s">
        <v>76</v>
      </c>
      <c r="B104" s="389" t="s">
        <v>341</v>
      </c>
      <c r="C104" s="172">
        <v>73598</v>
      </c>
      <c r="D104" s="172">
        <f>'Z_1.1.sz.mell.'!D108</f>
        <v>0</v>
      </c>
      <c r="E104" s="108">
        <f>'Z_1.1.sz.mell.'!E108</f>
        <v>0</v>
      </c>
    </row>
    <row r="105" spans="1:5" ht="12" customHeight="1" x14ac:dyDescent="0.25">
      <c r="A105" s="12" t="s">
        <v>77</v>
      </c>
      <c r="B105" s="389" t="s">
        <v>257</v>
      </c>
      <c r="C105" s="172"/>
      <c r="D105" s="172">
        <f>'Z_1.1.sz.mell.'!D109</f>
        <v>0</v>
      </c>
      <c r="E105" s="108">
        <f>'Z_1.1.sz.mell.'!E109</f>
        <v>0</v>
      </c>
    </row>
    <row r="106" spans="1:5" ht="12" customHeight="1" x14ac:dyDescent="0.25">
      <c r="A106" s="12" t="s">
        <v>78</v>
      </c>
      <c r="B106" s="392" t="s">
        <v>258</v>
      </c>
      <c r="C106" s="172"/>
      <c r="D106" s="172">
        <f>'Z_1.1.sz.mell.'!D110</f>
        <v>0</v>
      </c>
      <c r="E106" s="108">
        <f>'Z_1.1.sz.mell.'!E110</f>
        <v>0</v>
      </c>
    </row>
    <row r="107" spans="1:5" ht="12" customHeight="1" x14ac:dyDescent="0.25">
      <c r="A107" s="12" t="s">
        <v>79</v>
      </c>
      <c r="B107" s="392" t="s">
        <v>259</v>
      </c>
      <c r="C107" s="172"/>
      <c r="D107" s="172">
        <f>'Z_1.1.sz.mell.'!D111</f>
        <v>0</v>
      </c>
      <c r="E107" s="108">
        <f>'Z_1.1.sz.mell.'!E111</f>
        <v>0</v>
      </c>
    </row>
    <row r="108" spans="1:5" ht="12" customHeight="1" x14ac:dyDescent="0.25">
      <c r="A108" s="12" t="s">
        <v>81</v>
      </c>
      <c r="B108" s="392" t="s">
        <v>260</v>
      </c>
      <c r="C108" s="172">
        <v>6041212</v>
      </c>
      <c r="D108" s="172">
        <f>'Z_1.1.sz.mell.'!D112</f>
        <v>6041212</v>
      </c>
      <c r="E108" s="108">
        <f>'Z_1.1.sz.mell.'!E112</f>
        <v>5806707</v>
      </c>
    </row>
    <row r="109" spans="1:5" ht="12" customHeight="1" x14ac:dyDescent="0.25">
      <c r="A109" s="12" t="s">
        <v>124</v>
      </c>
      <c r="B109" s="392" t="s">
        <v>261</v>
      </c>
      <c r="C109" s="172"/>
      <c r="D109" s="172">
        <f>'Z_1.1.sz.mell.'!D113</f>
        <v>0</v>
      </c>
      <c r="E109" s="108">
        <f>'Z_1.1.sz.mell.'!E113</f>
        <v>0</v>
      </c>
    </row>
    <row r="110" spans="1:5" ht="12" customHeight="1" x14ac:dyDescent="0.25">
      <c r="A110" s="12" t="s">
        <v>255</v>
      </c>
      <c r="B110" s="392" t="s">
        <v>262</v>
      </c>
      <c r="C110" s="172"/>
      <c r="D110" s="172">
        <f>'Z_1.1.sz.mell.'!D114</f>
        <v>0</v>
      </c>
      <c r="E110" s="108">
        <f>'Z_1.1.sz.mell.'!E114</f>
        <v>0</v>
      </c>
    </row>
    <row r="111" spans="1:5" ht="12" customHeight="1" x14ac:dyDescent="0.25">
      <c r="A111" s="12" t="s">
        <v>256</v>
      </c>
      <c r="B111" s="392" t="s">
        <v>263</v>
      </c>
      <c r="C111" s="172"/>
      <c r="D111" s="172">
        <f>'Z_1.1.sz.mell.'!D115</f>
        <v>0</v>
      </c>
      <c r="E111" s="108">
        <f>'Z_1.1.sz.mell.'!E115</f>
        <v>0</v>
      </c>
    </row>
    <row r="112" spans="1:5" ht="12" customHeight="1" x14ac:dyDescent="0.25">
      <c r="A112" s="12" t="s">
        <v>339</v>
      </c>
      <c r="B112" s="392" t="s">
        <v>264</v>
      </c>
      <c r="C112" s="172"/>
      <c r="D112" s="172">
        <f>'Z_1.1.sz.mell.'!D116</f>
        <v>0</v>
      </c>
      <c r="E112" s="108">
        <f>'Z_1.1.sz.mell.'!E116</f>
        <v>0</v>
      </c>
    </row>
    <row r="113" spans="1:5" ht="12" customHeight="1" x14ac:dyDescent="0.25">
      <c r="A113" s="12" t="s">
        <v>340</v>
      </c>
      <c r="B113" s="389" t="s">
        <v>265</v>
      </c>
      <c r="C113" s="172">
        <v>49662004</v>
      </c>
      <c r="D113" s="172">
        <f>'Z_1.1.sz.mell.'!D117</f>
        <v>65970266</v>
      </c>
      <c r="E113" s="108">
        <f>'Z_1.1.sz.mell.'!E117</f>
        <v>62198134</v>
      </c>
    </row>
    <row r="114" spans="1:5" ht="12" customHeight="1" x14ac:dyDescent="0.25">
      <c r="A114" s="11" t="s">
        <v>344</v>
      </c>
      <c r="B114" s="393" t="s">
        <v>36</v>
      </c>
      <c r="C114" s="172"/>
      <c r="D114" s="172">
        <f>'Z_1.1.sz.mell.'!D118</f>
        <v>7222963</v>
      </c>
      <c r="E114" s="108">
        <f>'Z_1.1.sz.mell.'!E118</f>
        <v>0</v>
      </c>
    </row>
    <row r="115" spans="1:5" ht="12" customHeight="1" x14ac:dyDescent="0.25">
      <c r="A115" s="12" t="s">
        <v>345</v>
      </c>
      <c r="B115" s="393" t="s">
        <v>347</v>
      </c>
      <c r="C115" s="172"/>
      <c r="D115" s="172">
        <f>'Z_1.1.sz.mell.'!D119</f>
        <v>6722963</v>
      </c>
      <c r="E115" s="108">
        <f>'Z_1.1.sz.mell.'!E119</f>
        <v>0</v>
      </c>
    </row>
    <row r="116" spans="1:5" ht="12" customHeight="1" thickBot="1" x14ac:dyDescent="0.3">
      <c r="A116" s="16" t="s">
        <v>346</v>
      </c>
      <c r="B116" s="394" t="s">
        <v>348</v>
      </c>
      <c r="C116" s="247"/>
      <c r="D116" s="247">
        <f>'Z_1.1.sz.mell.'!D120</f>
        <v>500000</v>
      </c>
      <c r="E116" s="241">
        <f>'Z_1.1.sz.mell.'!E120</f>
        <v>0</v>
      </c>
    </row>
    <row r="117" spans="1:5" ht="12" customHeight="1" thickBot="1" x14ac:dyDescent="0.3">
      <c r="A117" s="18" t="s">
        <v>7</v>
      </c>
      <c r="B117" s="23" t="s">
        <v>867</v>
      </c>
      <c r="C117" s="169">
        <f>+C118+C120+C122</f>
        <v>92222573</v>
      </c>
      <c r="D117" s="169">
        <f>+D118+D120+D122</f>
        <v>246154305</v>
      </c>
      <c r="E117" s="105">
        <f>+E118+E120+E122</f>
        <v>153983272</v>
      </c>
    </row>
    <row r="118" spans="1:5" ht="12" customHeight="1" x14ac:dyDescent="0.25">
      <c r="A118" s="13" t="s">
        <v>69</v>
      </c>
      <c r="B118" s="389" t="s">
        <v>142</v>
      </c>
      <c r="C118" s="171">
        <v>42460760</v>
      </c>
      <c r="D118" s="172">
        <f>'Z_1.1.sz.mell.'!D122</f>
        <v>25784466</v>
      </c>
      <c r="E118" s="108">
        <f>'Z_1.1.sz.mell.'!E122</f>
        <v>23574143</v>
      </c>
    </row>
    <row r="119" spans="1:5" ht="12" customHeight="1" x14ac:dyDescent="0.25">
      <c r="A119" s="13" t="s">
        <v>70</v>
      </c>
      <c r="B119" s="393" t="s">
        <v>270</v>
      </c>
      <c r="C119" s="171"/>
      <c r="D119" s="172">
        <f>'Z_1.1.sz.mell.'!D123</f>
        <v>8509200</v>
      </c>
      <c r="E119" s="108">
        <f>'Z_1.1.sz.mell.'!E123</f>
        <v>8509200</v>
      </c>
    </row>
    <row r="120" spans="1:5" x14ac:dyDescent="0.25">
      <c r="A120" s="13" t="s">
        <v>71</v>
      </c>
      <c r="B120" s="393" t="s">
        <v>125</v>
      </c>
      <c r="C120" s="170">
        <v>41108020</v>
      </c>
      <c r="D120" s="172">
        <f>'Z_1.1.sz.mell.'!D124</f>
        <v>216026421</v>
      </c>
      <c r="E120" s="108">
        <f>'Z_1.1.sz.mell.'!E124</f>
        <v>126065711</v>
      </c>
    </row>
    <row r="121" spans="1:5" ht="12" customHeight="1" x14ac:dyDescent="0.25">
      <c r="A121" s="13" t="s">
        <v>72</v>
      </c>
      <c r="B121" s="393" t="s">
        <v>271</v>
      </c>
      <c r="C121" s="170"/>
      <c r="D121" s="172">
        <f>'Z_1.1.sz.mell.'!D125</f>
        <v>184833480</v>
      </c>
      <c r="E121" s="108">
        <f>'Z_1.1.sz.mell.'!E125</f>
        <v>121637168</v>
      </c>
    </row>
    <row r="122" spans="1:5" ht="12" customHeight="1" x14ac:dyDescent="0.25">
      <c r="A122" s="13" t="s">
        <v>73</v>
      </c>
      <c r="B122" s="375" t="s">
        <v>144</v>
      </c>
      <c r="C122" s="170">
        <v>8653793</v>
      </c>
      <c r="D122" s="172">
        <f>'Z_1.1.sz.mell.'!D126</f>
        <v>4343418</v>
      </c>
      <c r="E122" s="108">
        <f>'Z_1.1.sz.mell.'!E126</f>
        <v>4343418</v>
      </c>
    </row>
    <row r="123" spans="1:5" x14ac:dyDescent="0.25">
      <c r="A123" s="13" t="s">
        <v>80</v>
      </c>
      <c r="B123" s="373" t="s">
        <v>331</v>
      </c>
      <c r="C123" s="170"/>
      <c r="D123" s="172">
        <f>'Z_1.1.sz.mell.'!D127</f>
        <v>0</v>
      </c>
      <c r="E123" s="108">
        <f>'Z_1.1.sz.mell.'!E127</f>
        <v>0</v>
      </c>
    </row>
    <row r="124" spans="1:5" x14ac:dyDescent="0.25">
      <c r="A124" s="13" t="s">
        <v>82</v>
      </c>
      <c r="B124" s="395" t="s">
        <v>276</v>
      </c>
      <c r="C124" s="170"/>
      <c r="D124" s="172">
        <f>'Z_1.1.sz.mell.'!D128</f>
        <v>0</v>
      </c>
      <c r="E124" s="108">
        <f>'Z_1.1.sz.mell.'!E128</f>
        <v>0</v>
      </c>
    </row>
    <row r="125" spans="1:5" ht="12" customHeight="1" x14ac:dyDescent="0.25">
      <c r="A125" s="13" t="s">
        <v>126</v>
      </c>
      <c r="B125" s="389" t="s">
        <v>259</v>
      </c>
      <c r="C125" s="170"/>
      <c r="D125" s="172">
        <f>'Z_1.1.sz.mell.'!D129</f>
        <v>4100000</v>
      </c>
      <c r="E125" s="108">
        <f>'Z_1.1.sz.mell.'!E129</f>
        <v>4100000</v>
      </c>
    </row>
    <row r="126" spans="1:5" ht="12" customHeight="1" x14ac:dyDescent="0.25">
      <c r="A126" s="13" t="s">
        <v>127</v>
      </c>
      <c r="B126" s="389" t="s">
        <v>275</v>
      </c>
      <c r="C126" s="170"/>
      <c r="D126" s="172">
        <f>'Z_1.1.sz.mell.'!D130</f>
        <v>243418</v>
      </c>
      <c r="E126" s="108">
        <f>'Z_1.1.sz.mell.'!E130</f>
        <v>243418</v>
      </c>
    </row>
    <row r="127" spans="1:5" ht="12" customHeight="1" x14ac:dyDescent="0.25">
      <c r="A127" s="13" t="s">
        <v>128</v>
      </c>
      <c r="B127" s="389" t="s">
        <v>274</v>
      </c>
      <c r="C127" s="170"/>
      <c r="D127" s="172">
        <f>'Z_1.1.sz.mell.'!D131</f>
        <v>0</v>
      </c>
      <c r="E127" s="108">
        <f>'Z_1.1.sz.mell.'!E131</f>
        <v>0</v>
      </c>
    </row>
    <row r="128" spans="1:5" s="396" customFormat="1" ht="12" customHeight="1" x14ac:dyDescent="0.2">
      <c r="A128" s="13" t="s">
        <v>267</v>
      </c>
      <c r="B128" s="389" t="s">
        <v>262</v>
      </c>
      <c r="C128" s="170"/>
      <c r="D128" s="172">
        <f>'Z_1.1.sz.mell.'!D132</f>
        <v>0</v>
      </c>
      <c r="E128" s="108">
        <f>'Z_1.1.sz.mell.'!E132</f>
        <v>0</v>
      </c>
    </row>
    <row r="129" spans="1:5" ht="12" customHeight="1" x14ac:dyDescent="0.25">
      <c r="A129" s="13" t="s">
        <v>268</v>
      </c>
      <c r="B129" s="389" t="s">
        <v>273</v>
      </c>
      <c r="C129" s="170"/>
      <c r="D129" s="172">
        <f>'Z_1.1.sz.mell.'!D133</f>
        <v>0</v>
      </c>
      <c r="E129" s="108">
        <f>'Z_1.1.sz.mell.'!E133</f>
        <v>0</v>
      </c>
    </row>
    <row r="130" spans="1:5" ht="12" customHeight="1" thickBot="1" x14ac:dyDescent="0.3">
      <c r="A130" s="11" t="s">
        <v>269</v>
      </c>
      <c r="B130" s="389" t="s">
        <v>272</v>
      </c>
      <c r="C130" s="172"/>
      <c r="D130" s="172">
        <f>'Z_1.1.sz.mell.'!D134</f>
        <v>0</v>
      </c>
      <c r="E130" s="108">
        <f>'Z_1.1.sz.mell.'!E134</f>
        <v>0</v>
      </c>
    </row>
    <row r="131" spans="1:5" ht="12" customHeight="1" thickBot="1" x14ac:dyDescent="0.3">
      <c r="A131" s="18" t="s">
        <v>8</v>
      </c>
      <c r="B131" s="397" t="s">
        <v>349</v>
      </c>
      <c r="C131" s="169">
        <f>+C96+C117</f>
        <v>488749127</v>
      </c>
      <c r="D131" s="169">
        <f>+D96+D117</f>
        <v>816768963</v>
      </c>
      <c r="E131" s="105">
        <f>+E96+E117</f>
        <v>670583450</v>
      </c>
    </row>
    <row r="132" spans="1:5" ht="12" customHeight="1" thickBot="1" x14ac:dyDescent="0.3">
      <c r="A132" s="18" t="s">
        <v>9</v>
      </c>
      <c r="B132" s="397" t="s">
        <v>350</v>
      </c>
      <c r="C132" s="169">
        <f>+C133+C134+C135</f>
        <v>0</v>
      </c>
      <c r="D132" s="169">
        <f>+D133+D134+D135</f>
        <v>0</v>
      </c>
      <c r="E132" s="105">
        <f>+E133+E134+E135</f>
        <v>0</v>
      </c>
    </row>
    <row r="133" spans="1:5" ht="12" customHeight="1" x14ac:dyDescent="0.25">
      <c r="A133" s="13" t="s">
        <v>176</v>
      </c>
      <c r="B133" s="395" t="s">
        <v>404</v>
      </c>
      <c r="C133" s="170"/>
      <c r="D133" s="172">
        <f>'Z_1.1.sz.mell.'!D137</f>
        <v>0</v>
      </c>
      <c r="E133" s="108">
        <f>'Z_1.1.sz.mell.'!E137</f>
        <v>0</v>
      </c>
    </row>
    <row r="134" spans="1:5" ht="12" customHeight="1" x14ac:dyDescent="0.25">
      <c r="A134" s="13" t="s">
        <v>177</v>
      </c>
      <c r="B134" s="395" t="s">
        <v>358</v>
      </c>
      <c r="C134" s="170"/>
      <c r="D134" s="172">
        <f>'Z_1.1.sz.mell.'!D138</f>
        <v>0</v>
      </c>
      <c r="E134" s="108">
        <f>'Z_1.1.sz.mell.'!E138</f>
        <v>0</v>
      </c>
    </row>
    <row r="135" spans="1:5" ht="12" customHeight="1" thickBot="1" x14ac:dyDescent="0.3">
      <c r="A135" s="11" t="s">
        <v>178</v>
      </c>
      <c r="B135" s="398" t="s">
        <v>403</v>
      </c>
      <c r="C135" s="170"/>
      <c r="D135" s="172">
        <f>'Z_1.1.sz.mell.'!D139</f>
        <v>0</v>
      </c>
      <c r="E135" s="108">
        <f>'Z_1.1.sz.mell.'!E139</f>
        <v>0</v>
      </c>
    </row>
    <row r="136" spans="1:5" ht="12" customHeight="1" thickBot="1" x14ac:dyDescent="0.3">
      <c r="A136" s="18" t="s">
        <v>10</v>
      </c>
      <c r="B136" s="397" t="s">
        <v>868</v>
      </c>
      <c r="C136" s="169">
        <f>+C137+C138+C139+C140</f>
        <v>0</v>
      </c>
      <c r="D136" s="169">
        <f>+D137+D138+D139+D140</f>
        <v>0</v>
      </c>
      <c r="E136" s="105">
        <f>+E137+E138+E139+E140</f>
        <v>0</v>
      </c>
    </row>
    <row r="137" spans="1:5" ht="12" customHeight="1" x14ac:dyDescent="0.25">
      <c r="A137" s="13" t="s">
        <v>56</v>
      </c>
      <c r="B137" s="395" t="s">
        <v>360</v>
      </c>
      <c r="C137" s="170"/>
      <c r="D137" s="172">
        <f>'Z_1.1.sz.mell.'!D141</f>
        <v>0</v>
      </c>
      <c r="E137" s="108">
        <f>'Z_1.1.sz.mell.'!E141</f>
        <v>0</v>
      </c>
    </row>
    <row r="138" spans="1:5" ht="12" customHeight="1" x14ac:dyDescent="0.25">
      <c r="A138" s="13" t="s">
        <v>57</v>
      </c>
      <c r="B138" s="395" t="s">
        <v>532</v>
      </c>
      <c r="C138" s="170"/>
      <c r="D138" s="172">
        <f>'Z_1.1.sz.mell.'!D142</f>
        <v>0</v>
      </c>
      <c r="E138" s="108">
        <f>'Z_1.1.sz.mell.'!E142</f>
        <v>0</v>
      </c>
    </row>
    <row r="139" spans="1:5" ht="12" customHeight="1" x14ac:dyDescent="0.25">
      <c r="A139" s="13" t="s">
        <v>58</v>
      </c>
      <c r="B139" s="395" t="s">
        <v>352</v>
      </c>
      <c r="C139" s="170"/>
      <c r="D139" s="172">
        <f>'Z_1.1.sz.mell.'!D143</f>
        <v>0</v>
      </c>
      <c r="E139" s="108">
        <f>'Z_1.1.sz.mell.'!E143</f>
        <v>0</v>
      </c>
    </row>
    <row r="140" spans="1:5" ht="12" customHeight="1" thickBot="1" x14ac:dyDescent="0.3">
      <c r="A140" s="11" t="s">
        <v>113</v>
      </c>
      <c r="B140" s="398" t="s">
        <v>533</v>
      </c>
      <c r="C140" s="170"/>
      <c r="D140" s="172">
        <f>'Z_1.1.sz.mell.'!D144</f>
        <v>0</v>
      </c>
      <c r="E140" s="108">
        <f>'Z_1.1.sz.mell.'!E144</f>
        <v>0</v>
      </c>
    </row>
    <row r="141" spans="1:5" ht="12" customHeight="1" thickBot="1" x14ac:dyDescent="0.3">
      <c r="A141" s="18" t="s">
        <v>11</v>
      </c>
      <c r="B141" s="397" t="s">
        <v>364</v>
      </c>
      <c r="C141" s="175">
        <f>+C142+C143+C144+C145</f>
        <v>3944193</v>
      </c>
      <c r="D141" s="175">
        <f>+D142+D143+D144+D145</f>
        <v>7309863</v>
      </c>
      <c r="E141" s="211">
        <f>+E142+E143+E144+E145</f>
        <v>7309863</v>
      </c>
    </row>
    <row r="142" spans="1:5" ht="12" customHeight="1" x14ac:dyDescent="0.25">
      <c r="A142" s="13" t="s">
        <v>59</v>
      </c>
      <c r="B142" s="395" t="s">
        <v>277</v>
      </c>
      <c r="C142" s="170"/>
      <c r="D142" s="172">
        <f>'Z_1.1.sz.mell.'!D146</f>
        <v>0</v>
      </c>
      <c r="E142" s="108">
        <f>'Z_1.1.sz.mell.'!E146</f>
        <v>0</v>
      </c>
    </row>
    <row r="143" spans="1:5" ht="12" customHeight="1" x14ac:dyDescent="0.25">
      <c r="A143" s="13" t="s">
        <v>60</v>
      </c>
      <c r="B143" s="395" t="s">
        <v>278</v>
      </c>
      <c r="C143" s="170">
        <v>3944193</v>
      </c>
      <c r="D143" s="172">
        <f>'Z_1.1.sz.mell.'!D147</f>
        <v>7309863</v>
      </c>
      <c r="E143" s="108">
        <f>'Z_1.1.sz.mell.'!E147</f>
        <v>7309863</v>
      </c>
    </row>
    <row r="144" spans="1:5" ht="12" customHeight="1" x14ac:dyDescent="0.25">
      <c r="A144" s="13" t="s">
        <v>194</v>
      </c>
      <c r="B144" s="395" t="s">
        <v>534</v>
      </c>
      <c r="C144" s="170"/>
      <c r="D144" s="172">
        <f>'Z_1.1.sz.mell.'!D148</f>
        <v>0</v>
      </c>
      <c r="E144" s="108">
        <f>'Z_1.1.sz.mell.'!E148</f>
        <v>0</v>
      </c>
    </row>
    <row r="145" spans="1:9" ht="12" customHeight="1" thickBot="1" x14ac:dyDescent="0.3">
      <c r="A145" s="11" t="s">
        <v>195</v>
      </c>
      <c r="B145" s="398" t="s">
        <v>294</v>
      </c>
      <c r="C145" s="170"/>
      <c r="D145" s="172"/>
      <c r="E145" s="108"/>
    </row>
    <row r="146" spans="1:9" ht="15.2" customHeight="1" thickBot="1" x14ac:dyDescent="0.3">
      <c r="A146" s="18" t="s">
        <v>12</v>
      </c>
      <c r="B146" s="397" t="s">
        <v>869</v>
      </c>
      <c r="C146" s="249">
        <f>+C147+C148+C149+C150</f>
        <v>0</v>
      </c>
      <c r="D146" s="249">
        <f>+D147+D148+D149+D150</f>
        <v>0</v>
      </c>
      <c r="E146" s="243">
        <f>+E147+E148+E149+E150</f>
        <v>0</v>
      </c>
      <c r="F146" s="192"/>
      <c r="G146" s="193"/>
      <c r="H146" s="193"/>
      <c r="I146" s="193"/>
    </row>
    <row r="147" spans="1:9" s="181" customFormat="1" ht="12.95" customHeight="1" x14ac:dyDescent="0.2">
      <c r="A147" s="13" t="s">
        <v>61</v>
      </c>
      <c r="B147" s="395" t="s">
        <v>535</v>
      </c>
      <c r="C147" s="170"/>
      <c r="D147" s="172">
        <f>'Z_1.1.sz.mell.'!D151</f>
        <v>0</v>
      </c>
      <c r="E147" s="108">
        <f>'Z_1.1.sz.mell.'!E151</f>
        <v>0</v>
      </c>
    </row>
    <row r="148" spans="1:9" ht="13.5" customHeight="1" x14ac:dyDescent="0.25">
      <c r="A148" s="13" t="s">
        <v>62</v>
      </c>
      <c r="B148" s="395" t="s">
        <v>536</v>
      </c>
      <c r="C148" s="170"/>
      <c r="D148" s="172">
        <f>'Z_1.1.sz.mell.'!D152</f>
        <v>0</v>
      </c>
      <c r="E148" s="108">
        <f>'Z_1.1.sz.mell.'!E152</f>
        <v>0</v>
      </c>
    </row>
    <row r="149" spans="1:9" ht="13.5" customHeight="1" x14ac:dyDescent="0.25">
      <c r="A149" s="13" t="s">
        <v>206</v>
      </c>
      <c r="B149" s="395" t="s">
        <v>537</v>
      </c>
      <c r="C149" s="170"/>
      <c r="D149" s="172">
        <f>'Z_1.1.sz.mell.'!D153</f>
        <v>0</v>
      </c>
      <c r="E149" s="108">
        <f>'Z_1.1.sz.mell.'!E153</f>
        <v>0</v>
      </c>
    </row>
    <row r="150" spans="1:9" ht="13.5" customHeight="1" x14ac:dyDescent="0.25">
      <c r="A150" s="13" t="s">
        <v>207</v>
      </c>
      <c r="B150" s="395" t="s">
        <v>369</v>
      </c>
      <c r="C150" s="170"/>
      <c r="D150" s="172">
        <f>'Z_1.1.sz.mell.'!D154</f>
        <v>0</v>
      </c>
      <c r="E150" s="108">
        <f>'Z_1.1.sz.mell.'!E154</f>
        <v>0</v>
      </c>
    </row>
    <row r="151" spans="1:9" ht="13.5" customHeight="1" thickBot="1" x14ac:dyDescent="0.3">
      <c r="A151" s="11" t="s">
        <v>870</v>
      </c>
      <c r="B151" s="398" t="s">
        <v>370</v>
      </c>
      <c r="C151" s="705"/>
      <c r="D151" s="172">
        <f>'Z_1.1.sz.mell.'!D155</f>
        <v>0</v>
      </c>
      <c r="E151" s="108">
        <f>'Z_1.1.sz.mell.'!E155</f>
        <v>0</v>
      </c>
    </row>
    <row r="152" spans="1:9" ht="13.5" customHeight="1" thickBot="1" x14ac:dyDescent="0.3">
      <c r="A152" s="706" t="s">
        <v>13</v>
      </c>
      <c r="B152" s="707" t="s">
        <v>371</v>
      </c>
      <c r="C152" s="708"/>
      <c r="D152" s="708"/>
      <c r="E152" s="709"/>
    </row>
    <row r="153" spans="1:9" ht="13.5" customHeight="1" thickBot="1" x14ac:dyDescent="0.3">
      <c r="A153" s="706" t="s">
        <v>14</v>
      </c>
      <c r="B153" s="707" t="s">
        <v>372</v>
      </c>
      <c r="C153" s="708"/>
      <c r="D153" s="708"/>
      <c r="E153" s="709"/>
    </row>
    <row r="154" spans="1:9" ht="12.75" customHeight="1" thickBot="1" x14ac:dyDescent="0.3">
      <c r="A154" s="18" t="s">
        <v>15</v>
      </c>
      <c r="B154" s="397" t="s">
        <v>374</v>
      </c>
      <c r="C154" s="251">
        <f>+C132+C136+C141+C146+C152+C153</f>
        <v>3944193</v>
      </c>
      <c r="D154" s="251">
        <f>+D132+D136+D141+D146+D152+D153</f>
        <v>7309863</v>
      </c>
      <c r="E154" s="245">
        <f>+E132+E136+E141+E146+E152+E153</f>
        <v>7309863</v>
      </c>
    </row>
    <row r="155" spans="1:9" ht="13.5" customHeight="1" thickBot="1" x14ac:dyDescent="0.3">
      <c r="A155" s="115" t="s">
        <v>16</v>
      </c>
      <c r="B155" s="399" t="s">
        <v>373</v>
      </c>
      <c r="C155" s="251">
        <f>+C131+C154</f>
        <v>492693320</v>
      </c>
      <c r="D155" s="251">
        <f>+D131+D154</f>
        <v>824078826</v>
      </c>
      <c r="E155" s="245">
        <f>+E131+E154</f>
        <v>677893313</v>
      </c>
    </row>
    <row r="156" spans="1:9" ht="13.5" customHeight="1" x14ac:dyDescent="0.25">
      <c r="C156" s="628"/>
      <c r="D156" s="628">
        <f>D90-D155</f>
        <v>0</v>
      </c>
    </row>
    <row r="157" spans="1:9" ht="13.5" customHeight="1" x14ac:dyDescent="0.25"/>
    <row r="158" spans="1:9" ht="7.5" customHeight="1" x14ac:dyDescent="0.25"/>
    <row r="160" spans="1:9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</sheetData>
  <mergeCells count="13">
    <mergeCell ref="B6:B7"/>
    <mergeCell ref="C6:C7"/>
    <mergeCell ref="D6:E6"/>
    <mergeCell ref="A91:E91"/>
    <mergeCell ref="A93:A94"/>
    <mergeCell ref="B93:B94"/>
    <mergeCell ref="C93:C94"/>
    <mergeCell ref="D93:E93"/>
    <mergeCell ref="A1:E1"/>
    <mergeCell ref="A2:E2"/>
    <mergeCell ref="A3:E3"/>
    <mergeCell ref="A4:E4"/>
    <mergeCell ref="A6:A7"/>
  </mergeCells>
  <printOptions horizontalCentered="1"/>
  <pageMargins left="0.59055118110236227" right="0.59055118110236227" top="0.59055118110236227" bottom="0.59055118110236227" header="0.39370078740157483" footer="0.39370078740157483"/>
  <pageSetup paperSize="9" scale="66" fitToHeight="2" orientation="portrait" r:id="rId1"/>
  <headerFooter alignWithMargins="0"/>
  <rowBreaks count="1" manualBreakCount="1">
    <brk id="90" max="4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74A5-27D3-4019-8A17-B95E8F9B5D25}">
  <sheetPr>
    <tabColor theme="5"/>
  </sheetPr>
  <dimension ref="A1:K20"/>
  <sheetViews>
    <sheetView zoomScale="120" zoomScaleNormal="120" workbookViewId="0">
      <selection activeCell="K2" sqref="K2:K19"/>
    </sheetView>
  </sheetViews>
  <sheetFormatPr defaultRowHeight="12.75" x14ac:dyDescent="0.2"/>
  <cols>
    <col min="1" max="1" width="6.83203125" style="28" customWidth="1"/>
    <col min="2" max="2" width="32.33203125" style="27" customWidth="1"/>
    <col min="3" max="3" width="17" style="27" customWidth="1"/>
    <col min="4" max="9" width="12.83203125" style="27" customWidth="1"/>
    <col min="10" max="10" width="13.83203125" style="27" customWidth="1"/>
    <col min="11" max="11" width="4" style="27" customWidth="1"/>
    <col min="12" max="16384" width="9.33203125" style="27"/>
  </cols>
  <sheetData>
    <row r="1" spans="1:11" ht="15.75" x14ac:dyDescent="0.2">
      <c r="A1" s="836" t="s">
        <v>762</v>
      </c>
      <c r="B1" s="905"/>
      <c r="C1" s="905"/>
      <c r="D1" s="905"/>
      <c r="E1" s="905"/>
      <c r="F1" s="905"/>
      <c r="G1" s="905"/>
      <c r="H1" s="905"/>
      <c r="I1" s="905"/>
      <c r="J1" s="905"/>
    </row>
    <row r="2" spans="1:11" ht="14.25" thickBot="1" x14ac:dyDescent="0.25">
      <c r="A2" s="343"/>
      <c r="B2" s="344"/>
      <c r="C2" s="344"/>
      <c r="D2" s="344"/>
      <c r="E2" s="344"/>
      <c r="F2" s="344"/>
      <c r="G2" s="344"/>
      <c r="H2" s="344"/>
      <c r="I2" s="344"/>
      <c r="J2" s="352" t="str">
        <f>'Z_1.tájékoztató_t.'!E5</f>
        <v xml:space="preserve"> Forintban!</v>
      </c>
      <c r="K2" s="835" t="str">
        <f>CONCATENATE("2. tájékoztató tábla ",Z_ALAPADATOK!A7," ",Z_ALAPADATOK!B7," ",Z_ALAPADATOK!C7," ",Z_ALAPADATOK!D7," ",Z_ALAPADATOK!E7," ",Z_ALAPADATOK!F7," ",Z_ALAPADATOK!G7," ",Z_ALAPADATOK!H7)</f>
        <v>2. tájékoztató tábla a … / 2022. ( … ) önkormányzati rendelethez</v>
      </c>
    </row>
    <row r="3" spans="1:11" s="403" customFormat="1" ht="26.45" customHeight="1" x14ac:dyDescent="0.2">
      <c r="A3" s="906" t="s">
        <v>51</v>
      </c>
      <c r="B3" s="908" t="s">
        <v>538</v>
      </c>
      <c r="C3" s="908" t="s">
        <v>539</v>
      </c>
      <c r="D3" s="908" t="s">
        <v>540</v>
      </c>
      <c r="E3" s="908" t="str">
        <f>CONCATENATE(Z_ALAPADATOK!B1,". évi teljesítés")</f>
        <v>2021. évi teljesítés</v>
      </c>
      <c r="F3" s="400" t="s">
        <v>541</v>
      </c>
      <c r="G3" s="401"/>
      <c r="H3" s="401"/>
      <c r="I3" s="402"/>
      <c r="J3" s="911" t="s">
        <v>542</v>
      </c>
      <c r="K3" s="835"/>
    </row>
    <row r="4" spans="1:11" s="407" customFormat="1" ht="32.450000000000003" customHeight="1" thickBot="1" x14ac:dyDescent="0.25">
      <c r="A4" s="907"/>
      <c r="B4" s="909"/>
      <c r="C4" s="909"/>
      <c r="D4" s="910"/>
      <c r="E4" s="910"/>
      <c r="F4" s="404" t="str">
        <f>CONCATENATE(Z_ALAPADATOK!B1+1,".")</f>
        <v>2022.</v>
      </c>
      <c r="G4" s="405" t="str">
        <f>CONCATENATE(Z_ALAPADATOK!B1+2,".")</f>
        <v>2023.</v>
      </c>
      <c r="H4" s="405" t="str">
        <f>CONCATENATE(Z_ALAPADATOK!B1+3,".")</f>
        <v>2024.</v>
      </c>
      <c r="I4" s="406" t="str">
        <f>CONCATENATE(Z_ALAPADATOK!B1+3,". után")</f>
        <v>2024. után</v>
      </c>
      <c r="J4" s="912"/>
      <c r="K4" s="835"/>
    </row>
    <row r="5" spans="1:11" s="412" customFormat="1" ht="14.1" customHeight="1" thickBot="1" x14ac:dyDescent="0.25">
      <c r="A5" s="408" t="s">
        <v>385</v>
      </c>
      <c r="B5" s="409" t="s">
        <v>543</v>
      </c>
      <c r="C5" s="410" t="s">
        <v>387</v>
      </c>
      <c r="D5" s="410" t="s">
        <v>389</v>
      </c>
      <c r="E5" s="410" t="s">
        <v>388</v>
      </c>
      <c r="F5" s="410" t="s">
        <v>390</v>
      </c>
      <c r="G5" s="410" t="s">
        <v>391</v>
      </c>
      <c r="H5" s="410" t="s">
        <v>392</v>
      </c>
      <c r="I5" s="410" t="s">
        <v>423</v>
      </c>
      <c r="J5" s="411" t="s">
        <v>544</v>
      </c>
      <c r="K5" s="835"/>
    </row>
    <row r="6" spans="1:11" ht="33.75" customHeight="1" x14ac:dyDescent="0.2">
      <c r="A6" s="413" t="s">
        <v>6</v>
      </c>
      <c r="B6" s="414" t="s">
        <v>545</v>
      </c>
      <c r="C6" s="415"/>
      <c r="D6" s="416">
        <f t="shared" ref="D6:I6" si="0">SUM(D7:D8)</f>
        <v>0</v>
      </c>
      <c r="E6" s="416">
        <f t="shared" si="0"/>
        <v>0</v>
      </c>
      <c r="F6" s="416">
        <f t="shared" si="0"/>
        <v>0</v>
      </c>
      <c r="G6" s="416">
        <f t="shared" si="0"/>
        <v>0</v>
      </c>
      <c r="H6" s="416">
        <f t="shared" si="0"/>
        <v>0</v>
      </c>
      <c r="I6" s="417">
        <f t="shared" si="0"/>
        <v>0</v>
      </c>
      <c r="J6" s="418">
        <f t="shared" ref="J6:J18" si="1">SUM(F6:I6)</f>
        <v>0</v>
      </c>
      <c r="K6" s="835"/>
    </row>
    <row r="7" spans="1:11" ht="21.2" customHeight="1" x14ac:dyDescent="0.2">
      <c r="A7" s="419" t="s">
        <v>7</v>
      </c>
      <c r="B7" s="420" t="s">
        <v>546</v>
      </c>
      <c r="C7" s="421"/>
      <c r="D7" s="21"/>
      <c r="E7" s="21"/>
      <c r="F7" s="21"/>
      <c r="G7" s="21"/>
      <c r="H7" s="21"/>
      <c r="I7" s="422"/>
      <c r="J7" s="423">
        <f t="shared" si="1"/>
        <v>0</v>
      </c>
      <c r="K7" s="835"/>
    </row>
    <row r="8" spans="1:11" ht="21.2" customHeight="1" x14ac:dyDescent="0.2">
      <c r="A8" s="419" t="s">
        <v>8</v>
      </c>
      <c r="B8" s="420" t="s">
        <v>546</v>
      </c>
      <c r="C8" s="421"/>
      <c r="D8" s="21"/>
      <c r="E8" s="21"/>
      <c r="F8" s="21"/>
      <c r="G8" s="21"/>
      <c r="H8" s="21"/>
      <c r="I8" s="422"/>
      <c r="J8" s="423">
        <f t="shared" si="1"/>
        <v>0</v>
      </c>
      <c r="K8" s="835"/>
    </row>
    <row r="9" spans="1:11" ht="33" customHeight="1" x14ac:dyDescent="0.2">
      <c r="A9" s="419" t="s">
        <v>9</v>
      </c>
      <c r="B9" s="424" t="s">
        <v>547</v>
      </c>
      <c r="C9" s="425"/>
      <c r="D9" s="426">
        <f t="shared" ref="D9:I9" si="2">SUM(D10:D11)</f>
        <v>0</v>
      </c>
      <c r="E9" s="426">
        <f t="shared" si="2"/>
        <v>0</v>
      </c>
      <c r="F9" s="426">
        <f t="shared" si="2"/>
        <v>0</v>
      </c>
      <c r="G9" s="426">
        <f t="shared" si="2"/>
        <v>0</v>
      </c>
      <c r="H9" s="426">
        <f t="shared" si="2"/>
        <v>0</v>
      </c>
      <c r="I9" s="427">
        <f t="shared" si="2"/>
        <v>0</v>
      </c>
      <c r="J9" s="428">
        <f t="shared" si="1"/>
        <v>0</v>
      </c>
      <c r="K9" s="835"/>
    </row>
    <row r="10" spans="1:11" ht="21.2" customHeight="1" x14ac:dyDescent="0.2">
      <c r="A10" s="419" t="s">
        <v>10</v>
      </c>
      <c r="B10" s="420" t="s">
        <v>546</v>
      </c>
      <c r="C10" s="421"/>
      <c r="D10" s="21"/>
      <c r="E10" s="21"/>
      <c r="F10" s="21"/>
      <c r="G10" s="21"/>
      <c r="H10" s="21"/>
      <c r="I10" s="422"/>
      <c r="J10" s="423">
        <f t="shared" si="1"/>
        <v>0</v>
      </c>
      <c r="K10" s="835"/>
    </row>
    <row r="11" spans="1:11" ht="18" customHeight="1" x14ac:dyDescent="0.2">
      <c r="A11" s="419" t="s">
        <v>11</v>
      </c>
      <c r="B11" s="420" t="s">
        <v>546</v>
      </c>
      <c r="C11" s="421"/>
      <c r="D11" s="21"/>
      <c r="E11" s="21"/>
      <c r="F11" s="21"/>
      <c r="G11" s="21"/>
      <c r="H11" s="21"/>
      <c r="I11" s="422"/>
      <c r="J11" s="423">
        <f t="shared" si="1"/>
        <v>0</v>
      </c>
      <c r="K11" s="835"/>
    </row>
    <row r="12" spans="1:11" ht="21.2" customHeight="1" x14ac:dyDescent="0.2">
      <c r="A12" s="419" t="s">
        <v>12</v>
      </c>
      <c r="B12" s="429" t="s">
        <v>548</v>
      </c>
      <c r="C12" s="425"/>
      <c r="D12" s="426">
        <f t="shared" ref="D12:I12" si="3">SUM(D13:D13)</f>
        <v>0</v>
      </c>
      <c r="E12" s="426">
        <f t="shared" si="3"/>
        <v>0</v>
      </c>
      <c r="F12" s="426">
        <f t="shared" si="3"/>
        <v>0</v>
      </c>
      <c r="G12" s="426">
        <f t="shared" si="3"/>
        <v>0</v>
      </c>
      <c r="H12" s="426">
        <f t="shared" si="3"/>
        <v>0</v>
      </c>
      <c r="I12" s="427">
        <f t="shared" si="3"/>
        <v>0</v>
      </c>
      <c r="J12" s="428">
        <f t="shared" si="1"/>
        <v>0</v>
      </c>
      <c r="K12" s="835"/>
    </row>
    <row r="13" spans="1:11" ht="21.2" customHeight="1" x14ac:dyDescent="0.2">
      <c r="A13" s="419" t="s">
        <v>13</v>
      </c>
      <c r="B13" s="420" t="s">
        <v>546</v>
      </c>
      <c r="C13" s="421"/>
      <c r="D13" s="21"/>
      <c r="E13" s="21"/>
      <c r="F13" s="21"/>
      <c r="G13" s="21"/>
      <c r="H13" s="21"/>
      <c r="I13" s="422"/>
      <c r="J13" s="423">
        <f t="shared" si="1"/>
        <v>0</v>
      </c>
      <c r="K13" s="835"/>
    </row>
    <row r="14" spans="1:11" ht="21.2" customHeight="1" x14ac:dyDescent="0.2">
      <c r="A14" s="419" t="s">
        <v>14</v>
      </c>
      <c r="B14" s="429" t="s">
        <v>549</v>
      </c>
      <c r="C14" s="425"/>
      <c r="D14" s="426">
        <f t="shared" ref="D14:I14" si="4">SUM(D15:D15)</f>
        <v>0</v>
      </c>
      <c r="E14" s="426">
        <f t="shared" si="4"/>
        <v>0</v>
      </c>
      <c r="F14" s="426">
        <f t="shared" si="4"/>
        <v>0</v>
      </c>
      <c r="G14" s="426">
        <f t="shared" si="4"/>
        <v>0</v>
      </c>
      <c r="H14" s="426">
        <f t="shared" si="4"/>
        <v>0</v>
      </c>
      <c r="I14" s="427">
        <f t="shared" si="4"/>
        <v>0</v>
      </c>
      <c r="J14" s="428">
        <f t="shared" si="1"/>
        <v>0</v>
      </c>
      <c r="K14" s="835"/>
    </row>
    <row r="15" spans="1:11" ht="21.2" customHeight="1" x14ac:dyDescent="0.2">
      <c r="A15" s="419" t="s">
        <v>15</v>
      </c>
      <c r="B15" s="420" t="s">
        <v>546</v>
      </c>
      <c r="C15" s="421"/>
      <c r="D15" s="21"/>
      <c r="E15" s="21"/>
      <c r="F15" s="21"/>
      <c r="G15" s="21"/>
      <c r="H15" s="21"/>
      <c r="I15" s="422"/>
      <c r="J15" s="423">
        <f t="shared" si="1"/>
        <v>0</v>
      </c>
      <c r="K15" s="835"/>
    </row>
    <row r="16" spans="1:11" ht="21.2" customHeight="1" x14ac:dyDescent="0.2">
      <c r="A16" s="430" t="s">
        <v>16</v>
      </c>
      <c r="B16" s="431" t="s">
        <v>550</v>
      </c>
      <c r="C16" s="432"/>
      <c r="D16" s="433">
        <f t="shared" ref="D16:I16" si="5">SUM(D17:D18)</f>
        <v>0</v>
      </c>
      <c r="E16" s="433">
        <f t="shared" si="5"/>
        <v>0</v>
      </c>
      <c r="F16" s="433">
        <f t="shared" si="5"/>
        <v>0</v>
      </c>
      <c r="G16" s="433">
        <f t="shared" si="5"/>
        <v>0</v>
      </c>
      <c r="H16" s="433">
        <f t="shared" si="5"/>
        <v>0</v>
      </c>
      <c r="I16" s="434">
        <f t="shared" si="5"/>
        <v>0</v>
      </c>
      <c r="J16" s="428">
        <f t="shared" si="1"/>
        <v>0</v>
      </c>
      <c r="K16" s="835"/>
    </row>
    <row r="17" spans="1:11" ht="21.2" customHeight="1" x14ac:dyDescent="0.2">
      <c r="A17" s="430" t="s">
        <v>17</v>
      </c>
      <c r="B17" s="420" t="s">
        <v>546</v>
      </c>
      <c r="C17" s="421"/>
      <c r="D17" s="21"/>
      <c r="E17" s="21"/>
      <c r="F17" s="21"/>
      <c r="G17" s="21"/>
      <c r="H17" s="21"/>
      <c r="I17" s="422"/>
      <c r="J17" s="423">
        <f t="shared" si="1"/>
        <v>0</v>
      </c>
      <c r="K17" s="835"/>
    </row>
    <row r="18" spans="1:11" ht="21.2" customHeight="1" thickBot="1" x14ac:dyDescent="0.25">
      <c r="A18" s="430" t="s">
        <v>18</v>
      </c>
      <c r="B18" s="420" t="s">
        <v>546</v>
      </c>
      <c r="C18" s="435"/>
      <c r="D18" s="436"/>
      <c r="E18" s="436"/>
      <c r="F18" s="436"/>
      <c r="G18" s="436"/>
      <c r="H18" s="436"/>
      <c r="I18" s="437"/>
      <c r="J18" s="423">
        <f t="shared" si="1"/>
        <v>0</v>
      </c>
      <c r="K18" s="835"/>
    </row>
    <row r="19" spans="1:11" ht="21.2" customHeight="1" thickBot="1" x14ac:dyDescent="0.25">
      <c r="A19" s="438" t="s">
        <v>19</v>
      </c>
      <c r="B19" s="439" t="s">
        <v>551</v>
      </c>
      <c r="C19" s="440"/>
      <c r="D19" s="441">
        <f t="shared" ref="D19:J19" si="6">D6+D9+D12+D14+D16</f>
        <v>0</v>
      </c>
      <c r="E19" s="441">
        <f t="shared" si="6"/>
        <v>0</v>
      </c>
      <c r="F19" s="441">
        <f t="shared" si="6"/>
        <v>0</v>
      </c>
      <c r="G19" s="441">
        <f t="shared" si="6"/>
        <v>0</v>
      </c>
      <c r="H19" s="441">
        <f t="shared" si="6"/>
        <v>0</v>
      </c>
      <c r="I19" s="442">
        <f t="shared" si="6"/>
        <v>0</v>
      </c>
      <c r="J19" s="443">
        <f t="shared" si="6"/>
        <v>0</v>
      </c>
      <c r="K19" s="835"/>
    </row>
    <row r="20" spans="1:11" ht="15.75" x14ac:dyDescent="0.2">
      <c r="B20" s="725" t="s">
        <v>900</v>
      </c>
    </row>
  </sheetData>
  <mergeCells count="8">
    <mergeCell ref="A1:J1"/>
    <mergeCell ref="K2:K19"/>
    <mergeCell ref="A3:A4"/>
    <mergeCell ref="B3:B4"/>
    <mergeCell ref="C3:C4"/>
    <mergeCell ref="D3:D4"/>
    <mergeCell ref="E3:E4"/>
    <mergeCell ref="J3:J4"/>
  </mergeCells>
  <printOptions horizontalCentered="1"/>
  <pageMargins left="0.78740157480314965" right="0.78740157480314965" top="1.39" bottom="0.98425196850393704" header="0.78740157480314965" footer="0.78740157480314965"/>
  <pageSetup paperSize="9" scale="95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CC4EF-E644-4E19-9443-482189F33E08}">
  <sheetPr>
    <tabColor theme="5"/>
  </sheetPr>
  <dimension ref="A1:J23"/>
  <sheetViews>
    <sheetView view="pageBreakPreview" zoomScale="60" zoomScaleNormal="120" workbookViewId="0">
      <selection activeCell="T23" sqref="T23"/>
    </sheetView>
  </sheetViews>
  <sheetFormatPr defaultRowHeight="12.75" x14ac:dyDescent="0.2"/>
  <cols>
    <col min="1" max="1" width="6.83203125" style="28" customWidth="1"/>
    <col min="2" max="2" width="50.33203125" style="27" customWidth="1"/>
    <col min="3" max="3" width="12.83203125" style="27" customWidth="1"/>
    <col min="4" max="4" width="18.6640625" style="27" customWidth="1"/>
    <col min="5" max="5" width="12.83203125" style="27" customWidth="1"/>
    <col min="6" max="6" width="14.83203125" style="27" customWidth="1"/>
    <col min="7" max="7" width="13.83203125" style="27" customWidth="1"/>
    <col min="8" max="8" width="15.5" style="27" customWidth="1"/>
    <col min="9" max="9" width="16.83203125" style="27" customWidth="1"/>
    <col min="10" max="10" width="7.1640625" style="27" customWidth="1"/>
    <col min="11" max="16384" width="9.33203125" style="27"/>
  </cols>
  <sheetData>
    <row r="1" spans="1:10" ht="17.25" customHeight="1" x14ac:dyDescent="0.2">
      <c r="A1" s="836" t="s">
        <v>826</v>
      </c>
      <c r="B1" s="905"/>
      <c r="C1" s="905"/>
      <c r="D1" s="905"/>
      <c r="E1" s="905"/>
      <c r="F1" s="905"/>
      <c r="G1" s="905"/>
      <c r="H1" s="905"/>
      <c r="I1" s="905"/>
    </row>
    <row r="2" spans="1:10" x14ac:dyDescent="0.2">
      <c r="A2" s="343"/>
      <c r="B2" s="344"/>
      <c r="C2" s="344"/>
      <c r="D2" s="344"/>
      <c r="E2" s="344"/>
      <c r="F2" s="344"/>
      <c r="G2" s="344"/>
      <c r="H2" s="344"/>
      <c r="I2" s="344"/>
    </row>
    <row r="3" spans="1:10" s="444" customFormat="1" ht="15.75" customHeight="1" thickBot="1" x14ac:dyDescent="0.25">
      <c r="A3" s="586"/>
      <c r="B3" s="342"/>
      <c r="C3" s="342"/>
      <c r="D3" s="342"/>
      <c r="E3" s="342"/>
      <c r="F3" s="342"/>
      <c r="G3" s="342"/>
      <c r="H3" s="342"/>
      <c r="I3" s="352" t="str">
        <f>'Z_2.tájékoztató_t.'!J2</f>
        <v xml:space="preserve"> Forintban!</v>
      </c>
      <c r="J3" s="917" t="str">
        <f>CONCATENATE("3. tájékoztató tábla ",Z_ALAPADATOK!A7," ",Z_ALAPADATOK!B7," ",Z_ALAPADATOK!C7," ",Z_ALAPADATOK!D7," ",Z_ALAPADATOK!E7," ",Z_ALAPADATOK!F7," ",Z_ALAPADATOK!G7," ",Z_ALAPADATOK!H7)</f>
        <v>3. tájékoztató tábla a … / 2022. ( … ) önkormányzati rendelethez</v>
      </c>
    </row>
    <row r="4" spans="1:10" s="775" customFormat="1" ht="26.45" customHeight="1" x14ac:dyDescent="0.2">
      <c r="A4" s="918" t="s">
        <v>51</v>
      </c>
      <c r="B4" s="920" t="s">
        <v>552</v>
      </c>
      <c r="C4" s="918" t="s">
        <v>553</v>
      </c>
      <c r="D4" s="913" t="s">
        <v>910</v>
      </c>
      <c r="E4" s="918" t="s">
        <v>554</v>
      </c>
      <c r="F4" s="922" t="str">
        <f>CONCATENATE("Hitel, kölcsön állomány ",Z_ALAPADATOK!B1,". dec. 31-én")</f>
        <v>Hitel, kölcsön állomány 2021. dec. 31-én</v>
      </c>
      <c r="G4" s="924" t="s">
        <v>555</v>
      </c>
      <c r="H4" s="925"/>
      <c r="I4" s="926" t="str">
        <f>CONCATENATE(H5," után")</f>
        <v>2023. után</v>
      </c>
      <c r="J4" s="917"/>
    </row>
    <row r="5" spans="1:10" s="776" customFormat="1" ht="40.5" customHeight="1" thickBot="1" x14ac:dyDescent="0.25">
      <c r="A5" s="919"/>
      <c r="B5" s="921"/>
      <c r="C5" s="919"/>
      <c r="D5" s="914"/>
      <c r="E5" s="919"/>
      <c r="F5" s="923"/>
      <c r="G5" s="587" t="str">
        <f>'Z_2.tájékoztató_t.'!F4</f>
        <v>2022.</v>
      </c>
      <c r="H5" s="588" t="str">
        <f>'Z_2.tájékoztató_t.'!G4</f>
        <v>2023.</v>
      </c>
      <c r="I5" s="927"/>
      <c r="J5" s="917"/>
    </row>
    <row r="6" spans="1:10" s="445" customFormat="1" ht="12.95" customHeight="1" thickBot="1" x14ac:dyDescent="0.25">
      <c r="A6" s="589" t="s">
        <v>385</v>
      </c>
      <c r="B6" s="590" t="s">
        <v>386</v>
      </c>
      <c r="C6" s="590" t="s">
        <v>387</v>
      </c>
      <c r="D6" s="747"/>
      <c r="E6" s="591" t="s">
        <v>389</v>
      </c>
      <c r="F6" s="589" t="s">
        <v>388</v>
      </c>
      <c r="G6" s="591" t="s">
        <v>390</v>
      </c>
      <c r="H6" s="591" t="s">
        <v>391</v>
      </c>
      <c r="I6" s="317" t="s">
        <v>392</v>
      </c>
      <c r="J6" s="917"/>
    </row>
    <row r="7" spans="1:10" ht="22.5" customHeight="1" thickBot="1" x14ac:dyDescent="0.25">
      <c r="A7" s="446" t="s">
        <v>6</v>
      </c>
      <c r="B7" s="748" t="s">
        <v>556</v>
      </c>
      <c r="C7" s="749"/>
      <c r="D7" s="750"/>
      <c r="E7" s="749"/>
      <c r="F7" s="751">
        <f>SUM(F8)</f>
        <v>0</v>
      </c>
      <c r="G7" s="751">
        <f>SUM(G8)</f>
        <v>0</v>
      </c>
      <c r="H7" s="751">
        <f>SUM(H8)</f>
        <v>0</v>
      </c>
      <c r="I7" s="767">
        <f>SUM(I8)</f>
        <v>0</v>
      </c>
      <c r="J7" s="917"/>
    </row>
    <row r="8" spans="1:10" ht="22.5" customHeight="1" thickBot="1" x14ac:dyDescent="0.25">
      <c r="A8" s="764" t="s">
        <v>7</v>
      </c>
      <c r="B8" s="760" t="s">
        <v>546</v>
      </c>
      <c r="C8" s="752"/>
      <c r="D8" s="770"/>
      <c r="E8" s="753"/>
      <c r="F8" s="754"/>
      <c r="G8" s="754"/>
      <c r="H8" s="754"/>
      <c r="I8" s="755">
        <v>0</v>
      </c>
      <c r="J8" s="917"/>
    </row>
    <row r="9" spans="1:10" ht="22.5" customHeight="1" thickBot="1" x14ac:dyDescent="0.25">
      <c r="A9" s="446" t="s">
        <v>8</v>
      </c>
      <c r="B9" s="748" t="s">
        <v>557</v>
      </c>
      <c r="C9" s="749"/>
      <c r="D9" s="749"/>
      <c r="E9" s="749"/>
      <c r="F9" s="751">
        <f>SUM(F10:F22)</f>
        <v>5986656</v>
      </c>
      <c r="G9" s="751">
        <f>SUM(G10:G22)</f>
        <v>3312467</v>
      </c>
      <c r="H9" s="751">
        <f>SUM(H10:H22)</f>
        <v>1922459</v>
      </c>
      <c r="I9" s="767">
        <f>SUM(I10:I22)</f>
        <v>1012451</v>
      </c>
      <c r="J9" s="917"/>
    </row>
    <row r="10" spans="1:10" ht="22.5" customHeight="1" x14ac:dyDescent="0.2">
      <c r="A10" s="765" t="s">
        <v>9</v>
      </c>
      <c r="B10" s="756" t="s">
        <v>906</v>
      </c>
      <c r="C10" s="757">
        <v>2017</v>
      </c>
      <c r="D10" s="757" t="s">
        <v>907</v>
      </c>
      <c r="E10" s="757">
        <v>2021</v>
      </c>
      <c r="F10" s="766">
        <v>108349</v>
      </c>
      <c r="G10" s="766"/>
      <c r="H10" s="766"/>
      <c r="I10" s="769"/>
      <c r="J10" s="917"/>
    </row>
    <row r="11" spans="1:10" ht="22.5" customHeight="1" x14ac:dyDescent="0.2">
      <c r="A11" s="449" t="s">
        <v>10</v>
      </c>
      <c r="B11" s="756" t="s">
        <v>906</v>
      </c>
      <c r="C11" s="757">
        <v>2018</v>
      </c>
      <c r="D11" s="757" t="s">
        <v>908</v>
      </c>
      <c r="E11" s="757">
        <v>2028</v>
      </c>
      <c r="F11" s="758">
        <v>455014</v>
      </c>
      <c r="G11" s="758">
        <v>379169</v>
      </c>
      <c r="H11" s="758">
        <v>309169</v>
      </c>
      <c r="I11" s="759">
        <v>239169</v>
      </c>
      <c r="J11" s="917"/>
    </row>
    <row r="12" spans="1:10" ht="22.5" customHeight="1" x14ac:dyDescent="0.2">
      <c r="A12" s="449" t="s">
        <v>11</v>
      </c>
      <c r="B12" s="760" t="s">
        <v>909</v>
      </c>
      <c r="C12" s="761">
        <v>2018</v>
      </c>
      <c r="D12" s="761" t="s">
        <v>907</v>
      </c>
      <c r="E12" s="761">
        <v>2022</v>
      </c>
      <c r="F12" s="762">
        <v>349987</v>
      </c>
      <c r="G12" s="762">
        <v>0</v>
      </c>
      <c r="H12" s="762">
        <v>0</v>
      </c>
      <c r="I12" s="763">
        <v>0</v>
      </c>
      <c r="J12" s="917"/>
    </row>
    <row r="13" spans="1:10" ht="22.5" customHeight="1" x14ac:dyDescent="0.2">
      <c r="A13" s="449" t="s">
        <v>12</v>
      </c>
      <c r="B13" s="760" t="s">
        <v>909</v>
      </c>
      <c r="C13" s="761">
        <v>2018</v>
      </c>
      <c r="D13" s="761" t="s">
        <v>907</v>
      </c>
      <c r="E13" s="761">
        <v>2022</v>
      </c>
      <c r="F13" s="762">
        <v>230000</v>
      </c>
      <c r="G13" s="762">
        <v>0</v>
      </c>
      <c r="H13" s="762">
        <v>0</v>
      </c>
      <c r="I13" s="763">
        <v>0</v>
      </c>
      <c r="J13" s="917"/>
    </row>
    <row r="14" spans="1:10" ht="22.5" customHeight="1" x14ac:dyDescent="0.2">
      <c r="A14" s="449" t="s">
        <v>13</v>
      </c>
      <c r="B14" s="760" t="s">
        <v>909</v>
      </c>
      <c r="C14" s="761">
        <v>2018</v>
      </c>
      <c r="D14" s="761" t="s">
        <v>907</v>
      </c>
      <c r="E14" s="761">
        <v>2022</v>
      </c>
      <c r="F14" s="762">
        <v>230000</v>
      </c>
      <c r="G14" s="762">
        <v>0</v>
      </c>
      <c r="H14" s="762">
        <v>0</v>
      </c>
      <c r="I14" s="763">
        <v>0</v>
      </c>
      <c r="J14" s="917"/>
    </row>
    <row r="15" spans="1:10" ht="22.5" customHeight="1" x14ac:dyDescent="0.2">
      <c r="A15" s="449" t="s">
        <v>14</v>
      </c>
      <c r="B15" s="760" t="s">
        <v>909</v>
      </c>
      <c r="C15" s="761">
        <v>2019</v>
      </c>
      <c r="D15" s="761" t="s">
        <v>907</v>
      </c>
      <c r="E15" s="761">
        <v>2023</v>
      </c>
      <c r="F15" s="762">
        <v>320000</v>
      </c>
      <c r="G15" s="762">
        <v>80000</v>
      </c>
      <c r="H15" s="762">
        <v>0</v>
      </c>
      <c r="I15" s="763">
        <v>0</v>
      </c>
      <c r="J15" s="917"/>
    </row>
    <row r="16" spans="1:10" ht="22.5" customHeight="1" x14ac:dyDescent="0.2">
      <c r="A16" s="449" t="s">
        <v>15</v>
      </c>
      <c r="B16" s="760" t="s">
        <v>909</v>
      </c>
      <c r="C16" s="761">
        <v>2020</v>
      </c>
      <c r="D16" s="761" t="s">
        <v>907</v>
      </c>
      <c r="E16" s="761">
        <v>2025</v>
      </c>
      <c r="F16" s="762">
        <v>460000</v>
      </c>
      <c r="G16" s="762">
        <v>340000</v>
      </c>
      <c r="H16" s="762">
        <v>220000</v>
      </c>
      <c r="I16" s="763">
        <v>100000</v>
      </c>
      <c r="J16" s="917"/>
    </row>
    <row r="17" spans="1:10" ht="22.5" customHeight="1" x14ac:dyDescent="0.2">
      <c r="A17" s="449" t="s">
        <v>16</v>
      </c>
      <c r="B17" s="760" t="s">
        <v>909</v>
      </c>
      <c r="C17" s="761">
        <v>2021</v>
      </c>
      <c r="D17" s="761" t="s">
        <v>907</v>
      </c>
      <c r="E17" s="761">
        <v>2025</v>
      </c>
      <c r="F17" s="762">
        <v>966666</v>
      </c>
      <c r="G17" s="762">
        <v>566662</v>
      </c>
      <c r="H17" s="762">
        <v>366658</v>
      </c>
      <c r="I17" s="763">
        <v>166654</v>
      </c>
      <c r="J17" s="917"/>
    </row>
    <row r="18" spans="1:10" ht="22.5" customHeight="1" x14ac:dyDescent="0.2">
      <c r="A18" s="449" t="s">
        <v>17</v>
      </c>
      <c r="B18" s="760" t="s">
        <v>909</v>
      </c>
      <c r="C18" s="761">
        <v>2021</v>
      </c>
      <c r="D18" s="761" t="s">
        <v>907</v>
      </c>
      <c r="E18" s="761">
        <v>2025</v>
      </c>
      <c r="F18" s="762">
        <v>600000</v>
      </c>
      <c r="G18" s="762">
        <v>480000</v>
      </c>
      <c r="H18" s="762">
        <v>360000</v>
      </c>
      <c r="I18" s="763">
        <v>240000</v>
      </c>
      <c r="J18" s="917"/>
    </row>
    <row r="19" spans="1:10" ht="22.5" customHeight="1" x14ac:dyDescent="0.2">
      <c r="A19" s="449" t="s">
        <v>18</v>
      </c>
      <c r="B19" s="760" t="s">
        <v>906</v>
      </c>
      <c r="C19" s="761">
        <v>2021</v>
      </c>
      <c r="D19" s="757" t="s">
        <v>908</v>
      </c>
      <c r="E19" s="761">
        <v>2027</v>
      </c>
      <c r="F19" s="762">
        <v>866640</v>
      </c>
      <c r="G19" s="762">
        <v>666636</v>
      </c>
      <c r="H19" s="762">
        <v>466632</v>
      </c>
      <c r="I19" s="763">
        <v>266628</v>
      </c>
      <c r="J19" s="917"/>
    </row>
    <row r="20" spans="1:10" ht="22.5" customHeight="1" x14ac:dyDescent="0.2">
      <c r="A20" s="449" t="s">
        <v>19</v>
      </c>
      <c r="B20" s="760" t="s">
        <v>906</v>
      </c>
      <c r="C20" s="761">
        <v>2021</v>
      </c>
      <c r="D20" s="757" t="s">
        <v>908</v>
      </c>
      <c r="E20" s="761">
        <v>2024</v>
      </c>
      <c r="F20" s="762">
        <v>1400000</v>
      </c>
      <c r="G20" s="762">
        <v>800000</v>
      </c>
      <c r="H20" s="762">
        <v>200000</v>
      </c>
      <c r="I20" s="763">
        <v>0</v>
      </c>
      <c r="J20" s="917"/>
    </row>
    <row r="21" spans="1:10" ht="22.5" customHeight="1" x14ac:dyDescent="0.2">
      <c r="A21" s="449" t="s">
        <v>20</v>
      </c>
      <c r="B21" s="760" t="s">
        <v>546</v>
      </c>
      <c r="C21" s="761"/>
      <c r="D21" s="768"/>
      <c r="E21" s="761"/>
      <c r="F21" s="762"/>
      <c r="G21" s="762"/>
      <c r="H21" s="762"/>
      <c r="I21" s="763"/>
      <c r="J21" s="917"/>
    </row>
    <row r="22" spans="1:10" ht="22.5" customHeight="1" thickBot="1" x14ac:dyDescent="0.25">
      <c r="A22" s="449" t="s">
        <v>21</v>
      </c>
      <c r="B22" s="760" t="s">
        <v>546</v>
      </c>
      <c r="C22" s="761"/>
      <c r="D22" s="768"/>
      <c r="E22" s="761"/>
      <c r="F22" s="762"/>
      <c r="G22" s="762"/>
      <c r="H22" s="762"/>
      <c r="I22" s="763"/>
      <c r="J22" s="917"/>
    </row>
    <row r="23" spans="1:10" ht="22.5" customHeight="1" thickBot="1" x14ac:dyDescent="0.25">
      <c r="A23" s="915" t="s">
        <v>558</v>
      </c>
      <c r="B23" s="916"/>
      <c r="C23" s="771"/>
      <c r="D23" s="772"/>
      <c r="E23" s="771"/>
      <c r="F23" s="773">
        <f>SUM(F9,F7)</f>
        <v>5986656</v>
      </c>
      <c r="G23" s="773">
        <f>SUM(G9,G7)</f>
        <v>3312467</v>
      </c>
      <c r="H23" s="773">
        <f>SUM(H9,H7)</f>
        <v>1922459</v>
      </c>
      <c r="I23" s="774">
        <f>SUM(I9,I7)</f>
        <v>1012451</v>
      </c>
      <c r="J23" s="917"/>
    </row>
  </sheetData>
  <mergeCells count="11">
    <mergeCell ref="I4:I5"/>
    <mergeCell ref="D4:D5"/>
    <mergeCell ref="A23:B23"/>
    <mergeCell ref="J3:J23"/>
    <mergeCell ref="A1:I1"/>
    <mergeCell ref="A4:A5"/>
    <mergeCell ref="B4:B5"/>
    <mergeCell ref="C4:C5"/>
    <mergeCell ref="E4:E5"/>
    <mergeCell ref="F4:F5"/>
    <mergeCell ref="G4:H4"/>
  </mergeCells>
  <printOptions horizontalCentered="1"/>
  <pageMargins left="0.59055118110236227" right="0.59055118110236227" top="0.78740157480314965" bottom="0.78740157480314965" header="0.39370078740157483" footer="0.39370078740157483"/>
  <pageSetup paperSize="9" scale="87" orientation="landscape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5AEA-B5EB-4436-A8D7-AE58C5739A4E}">
  <sheetPr>
    <tabColor theme="5"/>
  </sheetPr>
  <dimension ref="A1:J19"/>
  <sheetViews>
    <sheetView zoomScale="120" zoomScaleNormal="120" workbookViewId="0">
      <selection activeCell="J1" sqref="J1:J19"/>
    </sheetView>
  </sheetViews>
  <sheetFormatPr defaultRowHeight="12.75" x14ac:dyDescent="0.2"/>
  <cols>
    <col min="1" max="1" width="5.5" style="31" customWidth="1"/>
    <col min="2" max="2" width="36.83203125" style="31" customWidth="1"/>
    <col min="3" max="8" width="13.83203125" style="31" customWidth="1"/>
    <col min="9" max="9" width="15.1640625" style="31" customWidth="1"/>
    <col min="10" max="10" width="5" style="31" customWidth="1"/>
    <col min="11" max="16384" width="9.33203125" style="31"/>
  </cols>
  <sheetData>
    <row r="1" spans="1:10" ht="34.5" customHeight="1" x14ac:dyDescent="0.2">
      <c r="A1" s="935" t="str">
        <f>CONCATENATE("Adósság állomány alakulása lejárat, eszközök, bel- és külföldi hitelezők szerinti bontásban
",Z_ALAPADATOK!B1,". december 31-én")</f>
        <v>Adósság állomány alakulása lejárat, eszközök, bel- és külföldi hitelezők szerinti bontásban
2021. december 31-én</v>
      </c>
      <c r="B1" s="936"/>
      <c r="C1" s="936"/>
      <c r="D1" s="936"/>
      <c r="E1" s="936"/>
      <c r="F1" s="936"/>
      <c r="G1" s="936"/>
      <c r="H1" s="936"/>
      <c r="I1" s="936"/>
      <c r="J1" s="917" t="str">
        <f>CONCATENATE("4. tájékoztató tábla ",Z_ALAPADATOK!A7," ",Z_ALAPADATOK!B7," ",Z_ALAPADATOK!C7," ",Z_ALAPADATOK!D7," ",Z_ALAPADATOK!E7," ",Z_ALAPADATOK!F7," ",Z_ALAPADATOK!G7," ",Z_ALAPADATOK!H7)</f>
        <v>4. tájékoztató tábla a … / 2022. ( … ) önkormányzati rendelethez</v>
      </c>
    </row>
    <row r="2" spans="1:10" ht="14.25" thickBot="1" x14ac:dyDescent="0.3">
      <c r="A2" s="70"/>
      <c r="B2" s="70"/>
      <c r="C2" s="70"/>
      <c r="D2" s="70"/>
      <c r="E2" s="70"/>
      <c r="F2" s="70"/>
      <c r="G2" s="70"/>
      <c r="H2" s="937" t="str">
        <f>'Z_3.tájékoztató_t.'!I3</f>
        <v xml:space="preserve"> Forintban!</v>
      </c>
      <c r="I2" s="937"/>
      <c r="J2" s="917"/>
    </row>
    <row r="3" spans="1:10" ht="13.5" thickBot="1" x14ac:dyDescent="0.25">
      <c r="A3" s="938" t="s">
        <v>4</v>
      </c>
      <c r="B3" s="940" t="s">
        <v>559</v>
      </c>
      <c r="C3" s="942" t="s">
        <v>560</v>
      </c>
      <c r="D3" s="944" t="s">
        <v>561</v>
      </c>
      <c r="E3" s="945"/>
      <c r="F3" s="945"/>
      <c r="G3" s="945"/>
      <c r="H3" s="945"/>
      <c r="I3" s="946" t="s">
        <v>862</v>
      </c>
      <c r="J3" s="917"/>
    </row>
    <row r="4" spans="1:10" s="48" customFormat="1" ht="42" customHeight="1" thickBot="1" x14ac:dyDescent="0.25">
      <c r="A4" s="939"/>
      <c r="B4" s="941"/>
      <c r="C4" s="943"/>
      <c r="D4" s="335" t="s">
        <v>562</v>
      </c>
      <c r="E4" s="335" t="s">
        <v>563</v>
      </c>
      <c r="F4" s="335" t="s">
        <v>564</v>
      </c>
      <c r="G4" s="592" t="s">
        <v>565</v>
      </c>
      <c r="H4" s="592" t="s">
        <v>566</v>
      </c>
      <c r="I4" s="947"/>
      <c r="J4" s="917"/>
    </row>
    <row r="5" spans="1:10" s="48" customFormat="1" ht="12" customHeight="1" thickBot="1" x14ac:dyDescent="0.25">
      <c r="A5" s="366" t="s">
        <v>385</v>
      </c>
      <c r="B5" s="367" t="s">
        <v>386</v>
      </c>
      <c r="C5" s="367" t="s">
        <v>387</v>
      </c>
      <c r="D5" s="367" t="s">
        <v>389</v>
      </c>
      <c r="E5" s="367" t="s">
        <v>388</v>
      </c>
      <c r="F5" s="367" t="s">
        <v>390</v>
      </c>
      <c r="G5" s="367" t="s">
        <v>391</v>
      </c>
      <c r="H5" s="367" t="s">
        <v>567</v>
      </c>
      <c r="I5" s="369" t="s">
        <v>568</v>
      </c>
      <c r="J5" s="917"/>
    </row>
    <row r="6" spans="1:10" s="48" customFormat="1" ht="18" customHeight="1" x14ac:dyDescent="0.2">
      <c r="A6" s="948" t="s">
        <v>569</v>
      </c>
      <c r="B6" s="949"/>
      <c r="C6" s="949"/>
      <c r="D6" s="949"/>
      <c r="E6" s="949"/>
      <c r="F6" s="949"/>
      <c r="G6" s="949"/>
      <c r="H6" s="949"/>
      <c r="I6" s="950"/>
      <c r="J6" s="917"/>
    </row>
    <row r="7" spans="1:10" ht="15.95" customHeight="1" x14ac:dyDescent="0.2">
      <c r="A7" s="99" t="s">
        <v>6</v>
      </c>
      <c r="B7" s="80" t="s">
        <v>570</v>
      </c>
      <c r="C7" s="71"/>
      <c r="D7" s="71"/>
      <c r="E7" s="71"/>
      <c r="F7" s="71"/>
      <c r="G7" s="451"/>
      <c r="H7" s="452">
        <f t="shared" ref="H7:H13" si="0">SUM(D7:G7)</f>
        <v>0</v>
      </c>
      <c r="I7" s="100">
        <f t="shared" ref="I7:I13" si="1">C7+H7</f>
        <v>0</v>
      </c>
      <c r="J7" s="917"/>
    </row>
    <row r="8" spans="1:10" ht="22.5" x14ac:dyDescent="0.2">
      <c r="A8" s="99" t="s">
        <v>7</v>
      </c>
      <c r="B8" s="80" t="s">
        <v>136</v>
      </c>
      <c r="C8" s="71">
        <v>7086241</v>
      </c>
      <c r="D8" s="71"/>
      <c r="E8" s="71"/>
      <c r="F8" s="71"/>
      <c r="G8" s="451"/>
      <c r="H8" s="452">
        <f t="shared" si="0"/>
        <v>0</v>
      </c>
      <c r="I8" s="100">
        <f t="shared" si="1"/>
        <v>7086241</v>
      </c>
      <c r="J8" s="917"/>
    </row>
    <row r="9" spans="1:10" ht="22.5" x14ac:dyDescent="0.2">
      <c r="A9" s="99" t="s">
        <v>8</v>
      </c>
      <c r="B9" s="80" t="s">
        <v>137</v>
      </c>
      <c r="C9" s="71"/>
      <c r="D9" s="71"/>
      <c r="E9" s="71"/>
      <c r="F9" s="71"/>
      <c r="G9" s="451"/>
      <c r="H9" s="452">
        <f t="shared" si="0"/>
        <v>0</v>
      </c>
      <c r="I9" s="100">
        <f t="shared" si="1"/>
        <v>0</v>
      </c>
      <c r="J9" s="917"/>
    </row>
    <row r="10" spans="1:10" ht="15.95" customHeight="1" x14ac:dyDescent="0.2">
      <c r="A10" s="99" t="s">
        <v>9</v>
      </c>
      <c r="B10" s="80" t="s">
        <v>138</v>
      </c>
      <c r="C10" s="71"/>
      <c r="D10" s="71"/>
      <c r="E10" s="71"/>
      <c r="F10" s="71"/>
      <c r="G10" s="451"/>
      <c r="H10" s="452">
        <f t="shared" si="0"/>
        <v>0</v>
      </c>
      <c r="I10" s="100">
        <f t="shared" si="1"/>
        <v>0</v>
      </c>
      <c r="J10" s="917"/>
    </row>
    <row r="11" spans="1:10" ht="22.5" x14ac:dyDescent="0.2">
      <c r="A11" s="99" t="s">
        <v>10</v>
      </c>
      <c r="B11" s="80" t="s">
        <v>139</v>
      </c>
      <c r="C11" s="71"/>
      <c r="D11" s="71"/>
      <c r="E11" s="71"/>
      <c r="F11" s="71"/>
      <c r="G11" s="451"/>
      <c r="H11" s="452">
        <f t="shared" si="0"/>
        <v>0</v>
      </c>
      <c r="I11" s="100">
        <f t="shared" si="1"/>
        <v>0</v>
      </c>
      <c r="J11" s="917"/>
    </row>
    <row r="12" spans="1:10" ht="15.95" customHeight="1" x14ac:dyDescent="0.2">
      <c r="A12" s="101" t="s">
        <v>11</v>
      </c>
      <c r="B12" s="102" t="s">
        <v>571</v>
      </c>
      <c r="C12" s="72"/>
      <c r="D12" s="72"/>
      <c r="E12" s="72"/>
      <c r="F12" s="72"/>
      <c r="G12" s="453"/>
      <c r="H12" s="452">
        <f t="shared" si="0"/>
        <v>0</v>
      </c>
      <c r="I12" s="100">
        <f t="shared" si="1"/>
        <v>0</v>
      </c>
      <c r="J12" s="917"/>
    </row>
    <row r="13" spans="1:10" ht="15.95" customHeight="1" thickBot="1" x14ac:dyDescent="0.25">
      <c r="A13" s="454" t="s">
        <v>12</v>
      </c>
      <c r="B13" s="455" t="s">
        <v>572</v>
      </c>
      <c r="C13" s="456"/>
      <c r="D13" s="456"/>
      <c r="E13" s="456"/>
      <c r="F13" s="456"/>
      <c r="G13" s="457"/>
      <c r="H13" s="452">
        <f t="shared" si="0"/>
        <v>0</v>
      </c>
      <c r="I13" s="100">
        <f t="shared" si="1"/>
        <v>0</v>
      </c>
      <c r="J13" s="917"/>
    </row>
    <row r="14" spans="1:10" s="73" customFormat="1" ht="18" customHeight="1" thickBot="1" x14ac:dyDescent="0.25">
      <c r="A14" s="931" t="s">
        <v>573</v>
      </c>
      <c r="B14" s="932"/>
      <c r="C14" s="103">
        <f t="shared" ref="C14:I14" si="2">SUM(C7:C13)</f>
        <v>7086241</v>
      </c>
      <c r="D14" s="103">
        <f>SUM(D7:D13)</f>
        <v>0</v>
      </c>
      <c r="E14" s="103">
        <f t="shared" si="2"/>
        <v>0</v>
      </c>
      <c r="F14" s="103">
        <f t="shared" si="2"/>
        <v>0</v>
      </c>
      <c r="G14" s="458">
        <f t="shared" si="2"/>
        <v>0</v>
      </c>
      <c r="H14" s="458">
        <f t="shared" si="2"/>
        <v>0</v>
      </c>
      <c r="I14" s="104">
        <f t="shared" si="2"/>
        <v>7086241</v>
      </c>
      <c r="J14" s="917"/>
    </row>
    <row r="15" spans="1:10" s="70" customFormat="1" ht="18" customHeight="1" x14ac:dyDescent="0.2">
      <c r="A15" s="928" t="s">
        <v>574</v>
      </c>
      <c r="B15" s="929"/>
      <c r="C15" s="929"/>
      <c r="D15" s="929"/>
      <c r="E15" s="929"/>
      <c r="F15" s="929"/>
      <c r="G15" s="929"/>
      <c r="H15" s="929"/>
      <c r="I15" s="930"/>
      <c r="J15" s="917"/>
    </row>
    <row r="16" spans="1:10" s="70" customFormat="1" x14ac:dyDescent="0.2">
      <c r="A16" s="99" t="s">
        <v>6</v>
      </c>
      <c r="B16" s="80" t="s">
        <v>575</v>
      </c>
      <c r="C16" s="71"/>
      <c r="D16" s="71"/>
      <c r="E16" s="71"/>
      <c r="F16" s="71"/>
      <c r="G16" s="451"/>
      <c r="H16" s="452">
        <f>SUM(D16:G16)</f>
        <v>0</v>
      </c>
      <c r="I16" s="100">
        <f>C16+H16</f>
        <v>0</v>
      </c>
      <c r="J16" s="917"/>
    </row>
    <row r="17" spans="1:10" ht="13.5" thickBot="1" x14ac:dyDescent="0.25">
      <c r="A17" s="454" t="s">
        <v>7</v>
      </c>
      <c r="B17" s="455" t="s">
        <v>572</v>
      </c>
      <c r="C17" s="456"/>
      <c r="D17" s="456"/>
      <c r="E17" s="456"/>
      <c r="F17" s="456"/>
      <c r="G17" s="457"/>
      <c r="H17" s="452">
        <f>SUM(D17:G17)</f>
        <v>0</v>
      </c>
      <c r="I17" s="459">
        <f>C17+H17</f>
        <v>0</v>
      </c>
      <c r="J17" s="917"/>
    </row>
    <row r="18" spans="1:10" ht="15.95" customHeight="1" thickBot="1" x14ac:dyDescent="0.25">
      <c r="A18" s="931" t="s">
        <v>576</v>
      </c>
      <c r="B18" s="932"/>
      <c r="C18" s="103">
        <f t="shared" ref="C18:I18" si="3">SUM(C16:C17)</f>
        <v>0</v>
      </c>
      <c r="D18" s="103">
        <f t="shared" si="3"/>
        <v>0</v>
      </c>
      <c r="E18" s="103">
        <f t="shared" si="3"/>
        <v>0</v>
      </c>
      <c r="F18" s="103">
        <f t="shared" si="3"/>
        <v>0</v>
      </c>
      <c r="G18" s="458">
        <f t="shared" si="3"/>
        <v>0</v>
      </c>
      <c r="H18" s="458">
        <f t="shared" si="3"/>
        <v>0</v>
      </c>
      <c r="I18" s="104">
        <f t="shared" si="3"/>
        <v>0</v>
      </c>
      <c r="J18" s="917"/>
    </row>
    <row r="19" spans="1:10" ht="18" customHeight="1" thickBot="1" x14ac:dyDescent="0.25">
      <c r="A19" s="933" t="s">
        <v>577</v>
      </c>
      <c r="B19" s="934"/>
      <c r="C19" s="460">
        <f t="shared" ref="C19:I19" si="4">C14+C18</f>
        <v>7086241</v>
      </c>
      <c r="D19" s="460">
        <f t="shared" si="4"/>
        <v>0</v>
      </c>
      <c r="E19" s="460">
        <f t="shared" si="4"/>
        <v>0</v>
      </c>
      <c r="F19" s="460">
        <f t="shared" si="4"/>
        <v>0</v>
      </c>
      <c r="G19" s="460">
        <f t="shared" si="4"/>
        <v>0</v>
      </c>
      <c r="H19" s="460">
        <f t="shared" si="4"/>
        <v>0</v>
      </c>
      <c r="I19" s="104">
        <f t="shared" si="4"/>
        <v>7086241</v>
      </c>
      <c r="J19" s="917"/>
    </row>
  </sheetData>
  <sheetProtection sheet="1"/>
  <mergeCells count="13">
    <mergeCell ref="I3:I4"/>
    <mergeCell ref="A6:I6"/>
    <mergeCell ref="A14:B14"/>
    <mergeCell ref="A15:I15"/>
    <mergeCell ref="A18:B18"/>
    <mergeCell ref="A19:B19"/>
    <mergeCell ref="A1:I1"/>
    <mergeCell ref="J1:J19"/>
    <mergeCell ref="H2:I2"/>
    <mergeCell ref="A3:A4"/>
    <mergeCell ref="B3:B4"/>
    <mergeCell ref="C3:C4"/>
    <mergeCell ref="D3:H3"/>
  </mergeCells>
  <printOptions horizontalCentered="1"/>
  <pageMargins left="0.59055118110236227" right="0.59055118110236227" top="1.1811023622047245" bottom="0.78740157480314965" header="0.59055118110236227" footer="0.59055118110236227"/>
  <pageSetup paperSize="9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D689-75B7-4DF7-8E6E-B939C6A82BCD}">
  <sheetPr>
    <tabColor theme="5"/>
  </sheetPr>
  <dimension ref="A1:D34"/>
  <sheetViews>
    <sheetView zoomScale="120" zoomScaleNormal="120" workbookViewId="0">
      <selection activeCell="B13" sqref="B13"/>
    </sheetView>
  </sheetViews>
  <sheetFormatPr defaultRowHeight="12.75" x14ac:dyDescent="0.2"/>
  <cols>
    <col min="1" max="1" width="5.83203125" style="478" customWidth="1"/>
    <col min="2" max="2" width="55.83203125" style="2" customWidth="1"/>
    <col min="3" max="4" width="14.83203125" style="2" customWidth="1"/>
    <col min="5" max="16384" width="9.33203125" style="2"/>
  </cols>
  <sheetData>
    <row r="1" spans="1:4" ht="15" x14ac:dyDescent="0.2">
      <c r="A1" s="952" t="str">
        <f>CONCATENATE("5. tájékoztató tábla ",Z_ALAPADATOK!A7," ",Z_ALAPADATOK!B7," ",Z_ALAPADATOK!C7," ",Z_ALAPADATOK!D7," ",Z_ALAPADATOK!E7," ",Z_ALAPADATOK!F7," ",Z_ALAPADATOK!G7," ",Z_ALAPADATOK!H7)</f>
        <v>5. tájékoztató tábla a … / 2022. ( … ) önkormányzati rendelethez</v>
      </c>
      <c r="B1" s="953"/>
      <c r="C1" s="953"/>
      <c r="D1" s="953"/>
    </row>
    <row r="2" spans="1:4" x14ac:dyDescent="0.2">
      <c r="A2" s="594"/>
      <c r="B2" s="595"/>
      <c r="C2" s="595"/>
      <c r="D2" s="595"/>
    </row>
    <row r="3" spans="1:4" ht="15.75" x14ac:dyDescent="0.2">
      <c r="A3" s="935" t="s">
        <v>767</v>
      </c>
      <c r="B3" s="905"/>
      <c r="C3" s="905"/>
      <c r="D3" s="905"/>
    </row>
    <row r="4" spans="1:4" ht="15.75" x14ac:dyDescent="0.2">
      <c r="A4" s="935" t="s">
        <v>768</v>
      </c>
      <c r="B4" s="905"/>
      <c r="C4" s="905"/>
      <c r="D4" s="905"/>
    </row>
    <row r="5" spans="1:4" s="444" customFormat="1" ht="15.75" thickBot="1" x14ac:dyDescent="0.25">
      <c r="A5" s="586"/>
      <c r="B5" s="342"/>
      <c r="C5" s="342"/>
      <c r="D5" s="352" t="str">
        <f>'Z_3.tájékoztató_t.'!I3</f>
        <v xml:space="preserve"> Forintban!</v>
      </c>
    </row>
    <row r="6" spans="1:4" s="48" customFormat="1" ht="48" customHeight="1" thickBot="1" x14ac:dyDescent="0.25">
      <c r="A6" s="328" t="s">
        <v>4</v>
      </c>
      <c r="B6" s="335" t="s">
        <v>5</v>
      </c>
      <c r="C6" s="335" t="s">
        <v>578</v>
      </c>
      <c r="D6" s="596" t="s">
        <v>579</v>
      </c>
    </row>
    <row r="7" spans="1:4" s="48" customFormat="1" ht="14.1" customHeight="1" thickBot="1" x14ac:dyDescent="0.25">
      <c r="A7" s="597" t="s">
        <v>385</v>
      </c>
      <c r="B7" s="598" t="s">
        <v>386</v>
      </c>
      <c r="C7" s="598" t="s">
        <v>387</v>
      </c>
      <c r="D7" s="599" t="s">
        <v>389</v>
      </c>
    </row>
    <row r="8" spans="1:4" ht="18" customHeight="1" x14ac:dyDescent="0.2">
      <c r="A8" s="461" t="s">
        <v>6</v>
      </c>
      <c r="B8" s="462" t="s">
        <v>580</v>
      </c>
      <c r="C8" s="463"/>
      <c r="D8" s="464"/>
    </row>
    <row r="9" spans="1:4" ht="18" customHeight="1" x14ac:dyDescent="0.2">
      <c r="A9" s="465" t="s">
        <v>7</v>
      </c>
      <c r="B9" s="466" t="s">
        <v>581</v>
      </c>
      <c r="C9" s="467"/>
      <c r="D9" s="468"/>
    </row>
    <row r="10" spans="1:4" ht="18" customHeight="1" x14ac:dyDescent="0.2">
      <c r="A10" s="465" t="s">
        <v>8</v>
      </c>
      <c r="B10" s="466" t="s">
        <v>582</v>
      </c>
      <c r="C10" s="467"/>
      <c r="D10" s="468"/>
    </row>
    <row r="11" spans="1:4" ht="18" customHeight="1" x14ac:dyDescent="0.2">
      <c r="A11" s="465" t="s">
        <v>9</v>
      </c>
      <c r="B11" s="466" t="s">
        <v>583</v>
      </c>
      <c r="C11" s="467"/>
      <c r="D11" s="468"/>
    </row>
    <row r="12" spans="1:4" ht="18" customHeight="1" x14ac:dyDescent="0.2">
      <c r="A12" s="469" t="s">
        <v>10</v>
      </c>
      <c r="B12" s="466" t="s">
        <v>584</v>
      </c>
      <c r="C12" s="467"/>
      <c r="D12" s="468"/>
    </row>
    <row r="13" spans="1:4" ht="18" customHeight="1" x14ac:dyDescent="0.2">
      <c r="A13" s="465" t="s">
        <v>11</v>
      </c>
      <c r="B13" s="466" t="s">
        <v>585</v>
      </c>
      <c r="C13" s="467"/>
      <c r="D13" s="468"/>
    </row>
    <row r="14" spans="1:4" ht="18" customHeight="1" x14ac:dyDescent="0.2">
      <c r="A14" s="469" t="s">
        <v>12</v>
      </c>
      <c r="B14" s="470" t="s">
        <v>586</v>
      </c>
      <c r="C14" s="467"/>
      <c r="D14" s="468"/>
    </row>
    <row r="15" spans="1:4" ht="18" customHeight="1" x14ac:dyDescent="0.2">
      <c r="A15" s="469" t="s">
        <v>13</v>
      </c>
      <c r="B15" s="470" t="s">
        <v>587</v>
      </c>
      <c r="C15" s="467"/>
      <c r="D15" s="468"/>
    </row>
    <row r="16" spans="1:4" ht="18" customHeight="1" x14ac:dyDescent="0.2">
      <c r="A16" s="465" t="s">
        <v>14</v>
      </c>
      <c r="B16" s="470" t="s">
        <v>588</v>
      </c>
      <c r="C16" s="467"/>
      <c r="D16" s="468"/>
    </row>
    <row r="17" spans="1:4" ht="18" customHeight="1" x14ac:dyDescent="0.2">
      <c r="A17" s="469" t="s">
        <v>15</v>
      </c>
      <c r="B17" s="470" t="s">
        <v>589</v>
      </c>
      <c r="C17" s="467"/>
      <c r="D17" s="468"/>
    </row>
    <row r="18" spans="1:4" ht="22.5" x14ac:dyDescent="0.2">
      <c r="A18" s="465" t="s">
        <v>16</v>
      </c>
      <c r="B18" s="470" t="s">
        <v>590</v>
      </c>
      <c r="C18" s="467"/>
      <c r="D18" s="468"/>
    </row>
    <row r="19" spans="1:4" ht="18" customHeight="1" x14ac:dyDescent="0.2">
      <c r="A19" s="469" t="s">
        <v>17</v>
      </c>
      <c r="B19" s="466" t="s">
        <v>591</v>
      </c>
      <c r="C19" s="467"/>
      <c r="D19" s="468"/>
    </row>
    <row r="20" spans="1:4" ht="18" customHeight="1" x14ac:dyDescent="0.2">
      <c r="A20" s="465" t="s">
        <v>18</v>
      </c>
      <c r="B20" s="466" t="s">
        <v>592</v>
      </c>
      <c r="C20" s="467"/>
      <c r="D20" s="468"/>
    </row>
    <row r="21" spans="1:4" ht="18" customHeight="1" x14ac:dyDescent="0.2">
      <c r="A21" s="469" t="s">
        <v>19</v>
      </c>
      <c r="B21" s="466" t="s">
        <v>593</v>
      </c>
      <c r="C21" s="467"/>
      <c r="D21" s="468"/>
    </row>
    <row r="22" spans="1:4" ht="18" customHeight="1" x14ac:dyDescent="0.2">
      <c r="A22" s="465" t="s">
        <v>20</v>
      </c>
      <c r="B22" s="466" t="s">
        <v>594</v>
      </c>
      <c r="C22" s="467"/>
      <c r="D22" s="468"/>
    </row>
    <row r="23" spans="1:4" ht="18" customHeight="1" x14ac:dyDescent="0.2">
      <c r="A23" s="469" t="s">
        <v>21</v>
      </c>
      <c r="B23" s="466" t="s">
        <v>899</v>
      </c>
      <c r="C23" s="467">
        <v>440000</v>
      </c>
      <c r="D23" s="468">
        <v>440000</v>
      </c>
    </row>
    <row r="24" spans="1:4" ht="18" customHeight="1" x14ac:dyDescent="0.2">
      <c r="A24" s="465" t="s">
        <v>22</v>
      </c>
      <c r="B24" s="471"/>
      <c r="C24" s="467"/>
      <c r="D24" s="468"/>
    </row>
    <row r="25" spans="1:4" ht="18" customHeight="1" x14ac:dyDescent="0.2">
      <c r="A25" s="469" t="s">
        <v>23</v>
      </c>
      <c r="B25" s="471"/>
      <c r="C25" s="467"/>
      <c r="D25" s="468"/>
    </row>
    <row r="26" spans="1:4" ht="18" customHeight="1" x14ac:dyDescent="0.2">
      <c r="A26" s="465" t="s">
        <v>24</v>
      </c>
      <c r="B26" s="471"/>
      <c r="C26" s="467"/>
      <c r="D26" s="468"/>
    </row>
    <row r="27" spans="1:4" ht="18" customHeight="1" x14ac:dyDescent="0.2">
      <c r="A27" s="469" t="s">
        <v>25</v>
      </c>
      <c r="B27" s="471"/>
      <c r="C27" s="467"/>
      <c r="D27" s="468"/>
    </row>
    <row r="28" spans="1:4" ht="18" customHeight="1" x14ac:dyDescent="0.2">
      <c r="A28" s="465" t="s">
        <v>26</v>
      </c>
      <c r="B28" s="471"/>
      <c r="C28" s="467"/>
      <c r="D28" s="468"/>
    </row>
    <row r="29" spans="1:4" ht="18" customHeight="1" x14ac:dyDescent="0.2">
      <c r="A29" s="469" t="s">
        <v>27</v>
      </c>
      <c r="B29" s="471"/>
      <c r="C29" s="467"/>
      <c r="D29" s="468"/>
    </row>
    <row r="30" spans="1:4" ht="18" customHeight="1" x14ac:dyDescent="0.2">
      <c r="A30" s="465" t="s">
        <v>28</v>
      </c>
      <c r="B30" s="471"/>
      <c r="C30" s="467"/>
      <c r="D30" s="468"/>
    </row>
    <row r="31" spans="1:4" ht="18" customHeight="1" x14ac:dyDescent="0.2">
      <c r="A31" s="469" t="s">
        <v>29</v>
      </c>
      <c r="B31" s="471"/>
      <c r="C31" s="467"/>
      <c r="D31" s="468"/>
    </row>
    <row r="32" spans="1:4" ht="18" customHeight="1" thickBot="1" x14ac:dyDescent="0.25">
      <c r="A32" s="472" t="s">
        <v>30</v>
      </c>
      <c r="B32" s="473"/>
      <c r="C32" s="474"/>
      <c r="D32" s="475"/>
    </row>
    <row r="33" spans="1:4" ht="18" customHeight="1" thickBot="1" x14ac:dyDescent="0.25">
      <c r="A33" s="476" t="s">
        <v>31</v>
      </c>
      <c r="B33" s="593" t="s">
        <v>37</v>
      </c>
      <c r="C33" s="447">
        <f>+C8+C9+C10+C11+C12+C19+C20+C21+C22+C23+C24+C25+C26+C27+C28+C29+C30+C31+C32</f>
        <v>440000</v>
      </c>
      <c r="D33" s="448">
        <f>+D8+D9+D10+D11+D12+D19+D20+D21+D22+D23+D24+D25+D26+D27+D28+D29+D30+D31+D32</f>
        <v>440000</v>
      </c>
    </row>
    <row r="34" spans="1:4" ht="25.5" customHeight="1" x14ac:dyDescent="0.2">
      <c r="A34" s="477"/>
      <c r="B34" s="951" t="s">
        <v>595</v>
      </c>
      <c r="C34" s="951"/>
      <c r="D34" s="951"/>
    </row>
  </sheetData>
  <mergeCells count="4">
    <mergeCell ref="B34:D34"/>
    <mergeCell ref="A1:D1"/>
    <mergeCell ref="A3:D3"/>
    <mergeCell ref="A4:D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E1D40-40CC-4181-BF09-B1706C7D7275}">
  <sheetPr>
    <tabColor theme="5"/>
  </sheetPr>
  <dimension ref="A1:E41"/>
  <sheetViews>
    <sheetView zoomScale="112" zoomScaleNormal="112" workbookViewId="0">
      <selection activeCell="C20" sqref="C20"/>
    </sheetView>
  </sheetViews>
  <sheetFormatPr defaultRowHeight="12.75" x14ac:dyDescent="0.2"/>
  <cols>
    <col min="1" max="1" width="6.6640625" style="31" customWidth="1"/>
    <col min="2" max="2" width="40.83203125" style="31" customWidth="1"/>
    <col min="3" max="3" width="22.5" style="31" customWidth="1"/>
    <col min="4" max="4" width="11.5" style="31" customWidth="1"/>
    <col min="5" max="5" width="12.83203125" style="31" customWidth="1"/>
    <col min="6" max="16384" width="9.33203125" style="31"/>
  </cols>
  <sheetData>
    <row r="1" spans="1:5" ht="15" x14ac:dyDescent="0.25">
      <c r="A1" s="956" t="str">
        <f>CONCATENATE("6. tájékoztató tábla ",Z_ALAPADATOK!A7," ",Z_ALAPADATOK!B7," ",Z_ALAPADATOK!C7," ",Z_ALAPADATOK!D7," ",Z_ALAPADATOK!E7," ",Z_ALAPADATOK!F7," ",Z_ALAPADATOK!G7," ",Z_ALAPADATOK!H7)</f>
        <v>6. tájékoztató tábla a … / 2022. ( … ) önkormányzati rendelethez</v>
      </c>
      <c r="B1" s="956"/>
      <c r="C1" s="956"/>
      <c r="D1" s="956"/>
      <c r="E1" s="956"/>
    </row>
    <row r="2" spans="1:5" x14ac:dyDescent="0.2">
      <c r="A2" s="70"/>
      <c r="B2" s="70"/>
      <c r="C2" s="70"/>
      <c r="D2" s="70"/>
      <c r="E2" s="70"/>
    </row>
    <row r="3" spans="1:5" ht="15.75" x14ac:dyDescent="0.25">
      <c r="A3" s="957" t="s">
        <v>769</v>
      </c>
      <c r="B3" s="957"/>
      <c r="C3" s="957"/>
      <c r="D3" s="957"/>
      <c r="E3" s="957"/>
    </row>
    <row r="4" spans="1:5" ht="15.75" x14ac:dyDescent="0.25">
      <c r="A4" s="957" t="str">
        <f>CONCATENATE("A ",Z_ALAPADATOK!B1,". évi céljelleggel juttatott támogatások felhasználásáról")</f>
        <v>A 2021. évi céljelleggel juttatott támogatások felhasználásáról</v>
      </c>
      <c r="B4" s="957"/>
      <c r="C4" s="957"/>
      <c r="D4" s="957"/>
      <c r="E4" s="957"/>
    </row>
    <row r="5" spans="1:5" x14ac:dyDescent="0.2">
      <c r="A5" s="70"/>
      <c r="B5" s="70"/>
      <c r="C5" s="70"/>
      <c r="D5" s="70"/>
      <c r="E5" s="70"/>
    </row>
    <row r="6" spans="1:5" ht="14.25" thickBot="1" x14ac:dyDescent="0.3">
      <c r="A6" s="70"/>
      <c r="B6" s="70"/>
      <c r="C6" s="600"/>
      <c r="D6" s="600"/>
      <c r="E6" s="600" t="str">
        <f>'Z_5.tájékoztató_t.'!D5</f>
        <v xml:space="preserve"> Forintban!</v>
      </c>
    </row>
    <row r="7" spans="1:5" ht="42.75" customHeight="1" thickBot="1" x14ac:dyDescent="0.25">
      <c r="A7" s="779" t="s">
        <v>51</v>
      </c>
      <c r="B7" s="780" t="s">
        <v>596</v>
      </c>
      <c r="C7" s="780" t="s">
        <v>597</v>
      </c>
      <c r="D7" s="781" t="s">
        <v>598</v>
      </c>
      <c r="E7" s="782" t="s">
        <v>599</v>
      </c>
    </row>
    <row r="8" spans="1:5" ht="15.95" customHeight="1" x14ac:dyDescent="0.2">
      <c r="A8" s="479" t="s">
        <v>6</v>
      </c>
      <c r="B8" s="480" t="s">
        <v>912</v>
      </c>
      <c r="C8" s="480" t="s">
        <v>913</v>
      </c>
      <c r="D8" s="481"/>
      <c r="E8" s="783">
        <v>1194207</v>
      </c>
    </row>
    <row r="9" spans="1:5" ht="15.95" customHeight="1" x14ac:dyDescent="0.2">
      <c r="A9" s="482" t="s">
        <v>7</v>
      </c>
      <c r="B9" s="483" t="s">
        <v>912</v>
      </c>
      <c r="C9" s="483" t="s">
        <v>914</v>
      </c>
      <c r="D9" s="484"/>
      <c r="E9" s="783">
        <v>3505500</v>
      </c>
    </row>
    <row r="10" spans="1:5" ht="15.95" customHeight="1" x14ac:dyDescent="0.2">
      <c r="A10" s="482" t="s">
        <v>8</v>
      </c>
      <c r="B10" s="483" t="s">
        <v>915</v>
      </c>
      <c r="C10" s="483" t="s">
        <v>916</v>
      </c>
      <c r="D10" s="484"/>
      <c r="E10" s="783">
        <v>232000</v>
      </c>
    </row>
    <row r="11" spans="1:5" ht="15.95" customHeight="1" x14ac:dyDescent="0.2">
      <c r="A11" s="482" t="s">
        <v>9</v>
      </c>
      <c r="B11" s="483" t="s">
        <v>917</v>
      </c>
      <c r="C11" s="483" t="s">
        <v>918</v>
      </c>
      <c r="D11" s="484"/>
      <c r="E11" s="783">
        <v>264018</v>
      </c>
    </row>
    <row r="12" spans="1:5" ht="15.95" customHeight="1" x14ac:dyDescent="0.2">
      <c r="A12" s="482" t="s">
        <v>10</v>
      </c>
      <c r="B12" s="483" t="s">
        <v>919</v>
      </c>
      <c r="C12" s="483" t="s">
        <v>920</v>
      </c>
      <c r="D12" s="484"/>
      <c r="E12" s="783">
        <v>875000</v>
      </c>
    </row>
    <row r="13" spans="1:5" ht="15.95" customHeight="1" x14ac:dyDescent="0.2">
      <c r="A13" s="482" t="s">
        <v>11</v>
      </c>
      <c r="B13" s="483" t="s">
        <v>921</v>
      </c>
      <c r="C13" s="483" t="s">
        <v>922</v>
      </c>
      <c r="D13" s="484"/>
      <c r="E13" s="783">
        <v>50712482</v>
      </c>
    </row>
    <row r="14" spans="1:5" ht="15.95" customHeight="1" x14ac:dyDescent="0.2">
      <c r="A14" s="482" t="s">
        <v>12</v>
      </c>
      <c r="B14" s="483" t="s">
        <v>923</v>
      </c>
      <c r="C14" s="483" t="s">
        <v>922</v>
      </c>
      <c r="D14" s="484"/>
      <c r="E14" s="783">
        <v>8717634</v>
      </c>
    </row>
    <row r="15" spans="1:5" ht="15.95" customHeight="1" x14ac:dyDescent="0.2">
      <c r="A15" s="482" t="s">
        <v>13</v>
      </c>
      <c r="B15" s="483" t="s">
        <v>924</v>
      </c>
      <c r="C15" s="483" t="s">
        <v>922</v>
      </c>
      <c r="D15" s="484"/>
      <c r="E15" s="783">
        <v>2114000</v>
      </c>
    </row>
    <row r="16" spans="1:5" ht="15.95" customHeight="1" x14ac:dyDescent="0.2">
      <c r="A16" s="482" t="s">
        <v>14</v>
      </c>
      <c r="B16" s="483" t="s">
        <v>925</v>
      </c>
      <c r="C16" s="483" t="s">
        <v>922</v>
      </c>
      <c r="D16" s="484"/>
      <c r="E16" s="783">
        <v>70000</v>
      </c>
    </row>
    <row r="17" spans="1:5" ht="15.95" customHeight="1" x14ac:dyDescent="0.2">
      <c r="A17" s="482" t="s">
        <v>15</v>
      </c>
      <c r="B17" s="483" t="s">
        <v>926</v>
      </c>
      <c r="C17" s="483" t="s">
        <v>922</v>
      </c>
      <c r="D17" s="484"/>
      <c r="E17" s="783">
        <v>70000</v>
      </c>
    </row>
    <row r="18" spans="1:5" ht="15.95" customHeight="1" x14ac:dyDescent="0.2">
      <c r="A18" s="482" t="s">
        <v>16</v>
      </c>
      <c r="B18" s="483" t="s">
        <v>927</v>
      </c>
      <c r="C18" s="483" t="s">
        <v>922</v>
      </c>
      <c r="D18" s="484"/>
      <c r="E18" s="783">
        <v>70000</v>
      </c>
    </row>
    <row r="19" spans="1:5" ht="15.95" customHeight="1" x14ac:dyDescent="0.2">
      <c r="A19" s="482" t="s">
        <v>17</v>
      </c>
      <c r="B19" s="483" t="s">
        <v>928</v>
      </c>
      <c r="C19" s="483" t="s">
        <v>929</v>
      </c>
      <c r="D19" s="484"/>
      <c r="E19" s="783">
        <v>45000</v>
      </c>
    </row>
    <row r="20" spans="1:5" ht="15.95" customHeight="1" x14ac:dyDescent="0.2">
      <c r="A20" s="482" t="s">
        <v>18</v>
      </c>
      <c r="B20" s="483" t="s">
        <v>930</v>
      </c>
      <c r="C20" s="483" t="s">
        <v>929</v>
      </c>
      <c r="D20" s="484"/>
      <c r="E20" s="783">
        <v>10000</v>
      </c>
    </row>
    <row r="21" spans="1:5" ht="15.95" customHeight="1" x14ac:dyDescent="0.2">
      <c r="A21" s="482" t="s">
        <v>19</v>
      </c>
      <c r="B21" s="778" t="s">
        <v>931</v>
      </c>
      <c r="C21" s="483" t="s">
        <v>929</v>
      </c>
      <c r="D21" s="484"/>
      <c r="E21" s="783">
        <v>100000</v>
      </c>
    </row>
    <row r="22" spans="1:5" ht="15.95" customHeight="1" x14ac:dyDescent="0.2">
      <c r="A22" s="482" t="s">
        <v>20</v>
      </c>
      <c r="B22" s="483" t="s">
        <v>932</v>
      </c>
      <c r="C22" s="483" t="s">
        <v>929</v>
      </c>
      <c r="D22" s="484"/>
      <c r="E22" s="783">
        <v>25000</v>
      </c>
    </row>
    <row r="23" spans="1:5" ht="15.95" customHeight="1" x14ac:dyDescent="0.2">
      <c r="A23" s="482" t="s">
        <v>21</v>
      </c>
      <c r="B23" s="483"/>
      <c r="C23" s="483"/>
      <c r="D23" s="484"/>
      <c r="E23" s="485"/>
    </row>
    <row r="24" spans="1:5" ht="15.95" customHeight="1" x14ac:dyDescent="0.2">
      <c r="A24" s="482" t="s">
        <v>22</v>
      </c>
      <c r="B24" s="483"/>
      <c r="C24" s="483"/>
      <c r="D24" s="484"/>
      <c r="E24" s="485"/>
    </row>
    <row r="25" spans="1:5" ht="15.95" customHeight="1" x14ac:dyDescent="0.2">
      <c r="A25" s="482" t="s">
        <v>23</v>
      </c>
      <c r="B25" s="483"/>
      <c r="C25" s="483"/>
      <c r="D25" s="484"/>
      <c r="E25" s="485"/>
    </row>
    <row r="26" spans="1:5" ht="15.95" customHeight="1" x14ac:dyDescent="0.2">
      <c r="A26" s="482" t="s">
        <v>24</v>
      </c>
      <c r="B26" s="483"/>
      <c r="C26" s="483"/>
      <c r="D26" s="484"/>
      <c r="E26" s="485"/>
    </row>
    <row r="27" spans="1:5" ht="15.95" customHeight="1" x14ac:dyDescent="0.2">
      <c r="A27" s="482" t="s">
        <v>25</v>
      </c>
      <c r="B27" s="483"/>
      <c r="C27" s="483"/>
      <c r="D27" s="484"/>
      <c r="E27" s="485"/>
    </row>
    <row r="28" spans="1:5" ht="15.95" customHeight="1" x14ac:dyDescent="0.2">
      <c r="A28" s="482" t="s">
        <v>26</v>
      </c>
      <c r="B28" s="483"/>
      <c r="C28" s="483"/>
      <c r="D28" s="484"/>
      <c r="E28" s="485"/>
    </row>
    <row r="29" spans="1:5" ht="15.95" customHeight="1" x14ac:dyDescent="0.2">
      <c r="A29" s="482" t="s">
        <v>27</v>
      </c>
      <c r="B29" s="483"/>
      <c r="C29" s="483"/>
      <c r="D29" s="484"/>
      <c r="E29" s="485"/>
    </row>
    <row r="30" spans="1:5" ht="15.95" customHeight="1" x14ac:dyDescent="0.2">
      <c r="A30" s="482" t="s">
        <v>28</v>
      </c>
      <c r="B30" s="483"/>
      <c r="C30" s="483"/>
      <c r="D30" s="484"/>
      <c r="E30" s="485"/>
    </row>
    <row r="31" spans="1:5" ht="15.95" customHeight="1" x14ac:dyDescent="0.2">
      <c r="A31" s="482" t="s">
        <v>29</v>
      </c>
      <c r="B31" s="483"/>
      <c r="C31" s="483"/>
      <c r="D31" s="484"/>
      <c r="E31" s="485"/>
    </row>
    <row r="32" spans="1:5" ht="15.95" customHeight="1" x14ac:dyDescent="0.2">
      <c r="A32" s="482" t="s">
        <v>30</v>
      </c>
      <c r="B32" s="483"/>
      <c r="C32" s="483"/>
      <c r="D32" s="484"/>
      <c r="E32" s="485"/>
    </row>
    <row r="33" spans="1:5" ht="15.95" customHeight="1" x14ac:dyDescent="0.2">
      <c r="A33" s="482" t="s">
        <v>31</v>
      </c>
      <c r="B33" s="483"/>
      <c r="C33" s="483"/>
      <c r="D33" s="484"/>
      <c r="E33" s="485"/>
    </row>
    <row r="34" spans="1:5" ht="15.95" customHeight="1" x14ac:dyDescent="0.2">
      <c r="A34" s="482" t="s">
        <v>32</v>
      </c>
      <c r="B34" s="483"/>
      <c r="C34" s="483"/>
      <c r="D34" s="484"/>
      <c r="E34" s="485"/>
    </row>
    <row r="35" spans="1:5" ht="15.95" customHeight="1" x14ac:dyDescent="0.2">
      <c r="A35" s="482" t="s">
        <v>33</v>
      </c>
      <c r="B35" s="483"/>
      <c r="C35" s="483"/>
      <c r="D35" s="484"/>
      <c r="E35" s="485"/>
    </row>
    <row r="36" spans="1:5" ht="15.95" customHeight="1" x14ac:dyDescent="0.2">
      <c r="A36" s="482" t="s">
        <v>600</v>
      </c>
      <c r="B36" s="483"/>
      <c r="C36" s="483"/>
      <c r="D36" s="484"/>
      <c r="E36" s="485"/>
    </row>
    <row r="37" spans="1:5" ht="15.95" customHeight="1" x14ac:dyDescent="0.2">
      <c r="A37" s="482" t="s">
        <v>601</v>
      </c>
      <c r="B37" s="483"/>
      <c r="C37" s="483"/>
      <c r="D37" s="484"/>
      <c r="E37" s="485"/>
    </row>
    <row r="38" spans="1:5" ht="15.95" customHeight="1" x14ac:dyDescent="0.2">
      <c r="A38" s="482" t="s">
        <v>602</v>
      </c>
      <c r="B38" s="483"/>
      <c r="C38" s="483"/>
      <c r="D38" s="484"/>
      <c r="E38" s="485"/>
    </row>
    <row r="39" spans="1:5" ht="15.95" customHeight="1" x14ac:dyDescent="0.2">
      <c r="A39" s="482" t="s">
        <v>603</v>
      </c>
      <c r="B39" s="483"/>
      <c r="C39" s="483"/>
      <c r="D39" s="484"/>
      <c r="E39" s="485"/>
    </row>
    <row r="40" spans="1:5" ht="15.95" customHeight="1" thickBot="1" x14ac:dyDescent="0.25">
      <c r="A40" s="486" t="s">
        <v>604</v>
      </c>
      <c r="B40" s="487"/>
      <c r="C40" s="487"/>
      <c r="D40" s="488"/>
      <c r="E40" s="489"/>
    </row>
    <row r="41" spans="1:5" ht="15.95" customHeight="1" thickBot="1" x14ac:dyDescent="0.25">
      <c r="A41" s="954" t="s">
        <v>37</v>
      </c>
      <c r="B41" s="955"/>
      <c r="C41" s="490"/>
      <c r="D41" s="491">
        <f>SUM(D8:D40)</f>
        <v>0</v>
      </c>
      <c r="E41" s="492">
        <f>SUM(E8:E40)</f>
        <v>68004841</v>
      </c>
    </row>
  </sheetData>
  <mergeCells count="4">
    <mergeCell ref="A41:B41"/>
    <mergeCell ref="A1:E1"/>
    <mergeCell ref="A4:E4"/>
    <mergeCell ref="A3:E3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fitToWidth="2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DC03B-8FD2-466A-9F2E-729D2225DE77}">
  <sheetPr>
    <tabColor theme="5"/>
  </sheetPr>
  <dimension ref="A1:E76"/>
  <sheetViews>
    <sheetView tabSelected="1" topLeftCell="A4" zoomScale="120" zoomScaleNormal="120" zoomScaleSheetLayoutView="120" workbookViewId="0">
      <selection activeCell="B17" sqref="B17"/>
    </sheetView>
  </sheetViews>
  <sheetFormatPr defaultColWidth="12" defaultRowHeight="15.75" x14ac:dyDescent="0.25"/>
  <cols>
    <col min="1" max="1" width="67.1640625" style="493" customWidth="1"/>
    <col min="2" max="2" width="6.1640625" style="494" customWidth="1"/>
    <col min="3" max="4" width="12.1640625" style="493" customWidth="1"/>
    <col min="5" max="5" width="12.1640625" style="520" customWidth="1"/>
    <col min="6" max="16384" width="12" style="493"/>
  </cols>
  <sheetData>
    <row r="1" spans="1:5" x14ac:dyDescent="0.25">
      <c r="A1" s="959" t="str">
        <f>CONCATENATE("7.1. tájékoztató tábla ",Z_ALAPADATOK!A7," ",Z_ALAPADATOK!B7," ",Z_ALAPADATOK!C7," ",Z_ALAPADATOK!D7," ",Z_ALAPADATOK!E7," ",Z_ALAPADATOK!F7," ",Z_ALAPADATOK!G7," ",Z_ALAPADATOK!H7)</f>
        <v>7.1. tájékoztató tábla a … / 2022. ( … ) önkormányzati rendelethez</v>
      </c>
      <c r="B1" s="815"/>
      <c r="C1" s="815"/>
      <c r="D1" s="815"/>
      <c r="E1" s="815"/>
    </row>
    <row r="2" spans="1:5" x14ac:dyDescent="0.25">
      <c r="A2" s="960" t="s">
        <v>773</v>
      </c>
      <c r="B2" s="961"/>
      <c r="C2" s="961"/>
      <c r="D2" s="961"/>
      <c r="E2" s="961"/>
    </row>
    <row r="3" spans="1:5" ht="16.5" customHeight="1" x14ac:dyDescent="0.25">
      <c r="A3" s="960" t="s">
        <v>774</v>
      </c>
      <c r="B3" s="961"/>
      <c r="C3" s="961"/>
      <c r="D3" s="961"/>
      <c r="E3" s="961"/>
    </row>
    <row r="4" spans="1:5" ht="16.5" customHeight="1" x14ac:dyDescent="0.25">
      <c r="A4" s="962" t="str">
        <f>CONCATENATE(Z_ALAPADATOK!B1,". év")</f>
        <v>2021. év</v>
      </c>
      <c r="B4" s="963"/>
      <c r="C4" s="963"/>
      <c r="D4" s="963"/>
      <c r="E4" s="963"/>
    </row>
    <row r="5" spans="1:5" ht="16.5" customHeight="1" thickBot="1" x14ac:dyDescent="0.3">
      <c r="A5" s="601"/>
      <c r="B5" s="602"/>
      <c r="C5" s="964" t="str">
        <f>'Z_6.tájékoztató_t.'!E6</f>
        <v xml:space="preserve"> Forintban!</v>
      </c>
      <c r="D5" s="964"/>
      <c r="E5" s="964"/>
    </row>
    <row r="6" spans="1:5" ht="15.75" customHeight="1" x14ac:dyDescent="0.25">
      <c r="A6" s="965" t="s">
        <v>605</v>
      </c>
      <c r="B6" s="968" t="s">
        <v>606</v>
      </c>
      <c r="C6" s="971" t="s">
        <v>607</v>
      </c>
      <c r="D6" s="971" t="s">
        <v>608</v>
      </c>
      <c r="E6" s="973" t="s">
        <v>609</v>
      </c>
    </row>
    <row r="7" spans="1:5" ht="11.25" customHeight="1" x14ac:dyDescent="0.25">
      <c r="A7" s="966"/>
      <c r="B7" s="969"/>
      <c r="C7" s="972"/>
      <c r="D7" s="972"/>
      <c r="E7" s="974"/>
    </row>
    <row r="8" spans="1:5" x14ac:dyDescent="0.25">
      <c r="A8" s="967"/>
      <c r="B8" s="970"/>
      <c r="C8" s="975" t="s">
        <v>610</v>
      </c>
      <c r="D8" s="975"/>
      <c r="E8" s="976"/>
    </row>
    <row r="9" spans="1:5" s="495" customFormat="1" ht="16.5" thickBot="1" x14ac:dyDescent="0.25">
      <c r="A9" s="603" t="s">
        <v>611</v>
      </c>
      <c r="B9" s="604" t="s">
        <v>386</v>
      </c>
      <c r="C9" s="604" t="s">
        <v>387</v>
      </c>
      <c r="D9" s="604" t="s">
        <v>389</v>
      </c>
      <c r="E9" s="605" t="s">
        <v>388</v>
      </c>
    </row>
    <row r="10" spans="1:5" s="500" customFormat="1" x14ac:dyDescent="0.2">
      <c r="A10" s="496" t="s">
        <v>612</v>
      </c>
      <c r="B10" s="497" t="s">
        <v>613</v>
      </c>
      <c r="C10" s="498">
        <f>SUM(F10:J10)</f>
        <v>0</v>
      </c>
      <c r="D10" s="498">
        <v>215795</v>
      </c>
      <c r="E10" s="499"/>
    </row>
    <row r="11" spans="1:5" s="500" customFormat="1" x14ac:dyDescent="0.2">
      <c r="A11" s="501" t="s">
        <v>614</v>
      </c>
      <c r="B11" s="502" t="s">
        <v>615</v>
      </c>
      <c r="C11" s="503">
        <f>+C12+C17+C22+C27+C32</f>
        <v>1689179548</v>
      </c>
      <c r="D11" s="503">
        <f>+D12+D17+D22+D27+D32</f>
        <v>1253727859</v>
      </c>
      <c r="E11" s="504">
        <f>+E12+E17+E22+E27+E32</f>
        <v>0</v>
      </c>
    </row>
    <row r="12" spans="1:5" s="500" customFormat="1" x14ac:dyDescent="0.2">
      <c r="A12" s="501" t="s">
        <v>616</v>
      </c>
      <c r="B12" s="502" t="s">
        <v>617</v>
      </c>
      <c r="C12" s="503">
        <f>+C13+C14+C15+C16</f>
        <v>1507331037</v>
      </c>
      <c r="D12" s="503">
        <f>+D13+D14+D15+D16</f>
        <v>1143082490</v>
      </c>
      <c r="E12" s="504">
        <f>+E13+E14+E15+E16</f>
        <v>0</v>
      </c>
    </row>
    <row r="13" spans="1:5" s="500" customFormat="1" x14ac:dyDescent="0.2">
      <c r="A13" s="505" t="s">
        <v>618</v>
      </c>
      <c r="B13" s="502" t="s">
        <v>619</v>
      </c>
      <c r="C13" s="506"/>
      <c r="D13" s="506"/>
      <c r="E13" s="507"/>
    </row>
    <row r="14" spans="1:5" s="500" customFormat="1" ht="26.45" customHeight="1" x14ac:dyDescent="0.2">
      <c r="A14" s="505" t="s">
        <v>620</v>
      </c>
      <c r="B14" s="502" t="s">
        <v>621</v>
      </c>
      <c r="C14" s="508">
        <v>838619841</v>
      </c>
      <c r="D14" s="508">
        <v>632564082</v>
      </c>
      <c r="E14" s="509"/>
    </row>
    <row r="15" spans="1:5" s="500" customFormat="1" x14ac:dyDescent="0.2">
      <c r="A15" s="505" t="s">
        <v>622</v>
      </c>
      <c r="B15" s="502" t="s">
        <v>623</v>
      </c>
      <c r="C15" s="508">
        <v>627579364</v>
      </c>
      <c r="D15" s="508">
        <v>473382534</v>
      </c>
      <c r="E15" s="509"/>
    </row>
    <row r="16" spans="1:5" s="500" customFormat="1" x14ac:dyDescent="0.2">
      <c r="A16" s="505" t="s">
        <v>624</v>
      </c>
      <c r="B16" s="502" t="s">
        <v>625</v>
      </c>
      <c r="C16" s="508">
        <v>41131832</v>
      </c>
      <c r="D16" s="508">
        <v>37135874</v>
      </c>
      <c r="E16" s="509"/>
    </row>
    <row r="17" spans="1:5" s="500" customFormat="1" x14ac:dyDescent="0.2">
      <c r="A17" s="501" t="s">
        <v>626</v>
      </c>
      <c r="B17" s="502" t="s">
        <v>627</v>
      </c>
      <c r="C17" s="510">
        <f>+C18+C19+C20+C21</f>
        <v>79820662</v>
      </c>
      <c r="D17" s="510">
        <f>+D18+D19+D20+D21</f>
        <v>8617520</v>
      </c>
      <c r="E17" s="511">
        <f>+E18+E19+E20+E21</f>
        <v>0</v>
      </c>
    </row>
    <row r="18" spans="1:5" s="500" customFormat="1" x14ac:dyDescent="0.2">
      <c r="A18" s="505" t="s">
        <v>628</v>
      </c>
      <c r="B18" s="502" t="s">
        <v>629</v>
      </c>
      <c r="C18" s="508"/>
      <c r="D18" s="508"/>
      <c r="E18" s="509"/>
    </row>
    <row r="19" spans="1:5" s="500" customFormat="1" ht="22.5" x14ac:dyDescent="0.2">
      <c r="A19" s="505" t="s">
        <v>630</v>
      </c>
      <c r="B19" s="502" t="s">
        <v>15</v>
      </c>
      <c r="C19" s="508"/>
      <c r="D19" s="508"/>
      <c r="E19" s="509"/>
    </row>
    <row r="20" spans="1:5" s="500" customFormat="1" x14ac:dyDescent="0.2">
      <c r="A20" s="505" t="s">
        <v>631</v>
      </c>
      <c r="B20" s="502" t="s">
        <v>16</v>
      </c>
      <c r="C20" s="508">
        <v>36076411</v>
      </c>
      <c r="D20" s="508">
        <v>5794454</v>
      </c>
      <c r="E20" s="509"/>
    </row>
    <row r="21" spans="1:5" s="500" customFormat="1" x14ac:dyDescent="0.2">
      <c r="A21" s="505" t="s">
        <v>632</v>
      </c>
      <c r="B21" s="502" t="s">
        <v>17</v>
      </c>
      <c r="C21" s="508">
        <v>43744251</v>
      </c>
      <c r="D21" s="508">
        <v>2823066</v>
      </c>
      <c r="E21" s="509"/>
    </row>
    <row r="22" spans="1:5" s="500" customFormat="1" x14ac:dyDescent="0.2">
      <c r="A22" s="501" t="s">
        <v>633</v>
      </c>
      <c r="B22" s="502" t="s">
        <v>18</v>
      </c>
      <c r="C22" s="510">
        <f>+C23+C24+C25+C26</f>
        <v>0</v>
      </c>
      <c r="D22" s="510">
        <f>+D23+D24+D25+D26</f>
        <v>0</v>
      </c>
      <c r="E22" s="511">
        <f>+E23+E24+E25+E26</f>
        <v>0</v>
      </c>
    </row>
    <row r="23" spans="1:5" s="500" customFormat="1" x14ac:dyDescent="0.2">
      <c r="A23" s="505" t="s">
        <v>634</v>
      </c>
      <c r="B23" s="502" t="s">
        <v>19</v>
      </c>
      <c r="C23" s="508"/>
      <c r="D23" s="508"/>
      <c r="E23" s="509"/>
    </row>
    <row r="24" spans="1:5" s="500" customFormat="1" x14ac:dyDescent="0.2">
      <c r="A24" s="505" t="s">
        <v>635</v>
      </c>
      <c r="B24" s="502" t="s">
        <v>20</v>
      </c>
      <c r="C24" s="508"/>
      <c r="D24" s="508"/>
      <c r="E24" s="509"/>
    </row>
    <row r="25" spans="1:5" s="500" customFormat="1" x14ac:dyDescent="0.2">
      <c r="A25" s="505" t="s">
        <v>636</v>
      </c>
      <c r="B25" s="502" t="s">
        <v>21</v>
      </c>
      <c r="C25" s="508"/>
      <c r="D25" s="508"/>
      <c r="E25" s="509"/>
    </row>
    <row r="26" spans="1:5" s="500" customFormat="1" x14ac:dyDescent="0.2">
      <c r="A26" s="505" t="s">
        <v>637</v>
      </c>
      <c r="B26" s="502" t="s">
        <v>22</v>
      </c>
      <c r="C26" s="508"/>
      <c r="D26" s="508"/>
      <c r="E26" s="509"/>
    </row>
    <row r="27" spans="1:5" s="500" customFormat="1" x14ac:dyDescent="0.2">
      <c r="A27" s="501" t="s">
        <v>638</v>
      </c>
      <c r="B27" s="502" t="s">
        <v>23</v>
      </c>
      <c r="C27" s="510">
        <f>+C28+C29+C30+C31</f>
        <v>102027849</v>
      </c>
      <c r="D27" s="510">
        <f>+D28+D29+D30+D31</f>
        <v>102027849</v>
      </c>
      <c r="E27" s="511">
        <f>+E28+E29+E30+E31</f>
        <v>0</v>
      </c>
    </row>
    <row r="28" spans="1:5" s="500" customFormat="1" x14ac:dyDescent="0.2">
      <c r="A28" s="505" t="s">
        <v>639</v>
      </c>
      <c r="B28" s="502" t="s">
        <v>24</v>
      </c>
      <c r="C28" s="508"/>
      <c r="D28" s="508"/>
      <c r="E28" s="509"/>
    </row>
    <row r="29" spans="1:5" s="500" customFormat="1" x14ac:dyDescent="0.2">
      <c r="A29" s="505" t="s">
        <v>640</v>
      </c>
      <c r="B29" s="502" t="s">
        <v>25</v>
      </c>
      <c r="C29" s="508"/>
      <c r="D29" s="508"/>
      <c r="E29" s="509"/>
    </row>
    <row r="30" spans="1:5" s="500" customFormat="1" x14ac:dyDescent="0.2">
      <c r="A30" s="505" t="s">
        <v>641</v>
      </c>
      <c r="B30" s="502" t="s">
        <v>26</v>
      </c>
      <c r="C30" s="508"/>
      <c r="D30" s="508"/>
      <c r="E30" s="509"/>
    </row>
    <row r="31" spans="1:5" s="500" customFormat="1" x14ac:dyDescent="0.2">
      <c r="A31" s="505" t="s">
        <v>642</v>
      </c>
      <c r="B31" s="502" t="s">
        <v>27</v>
      </c>
      <c r="C31" s="508">
        <v>102027849</v>
      </c>
      <c r="D31" s="508">
        <v>102027849</v>
      </c>
      <c r="E31" s="509"/>
    </row>
    <row r="32" spans="1:5" s="500" customFormat="1" x14ac:dyDescent="0.2">
      <c r="A32" s="501" t="s">
        <v>643</v>
      </c>
      <c r="B32" s="502" t="s">
        <v>28</v>
      </c>
      <c r="C32" s="510">
        <f>+C33+C34+C35+C36</f>
        <v>0</v>
      </c>
      <c r="D32" s="510">
        <f>+D33+D34+D35+D36</f>
        <v>0</v>
      </c>
      <c r="E32" s="511">
        <f>+E33+E34+E35+E36</f>
        <v>0</v>
      </c>
    </row>
    <row r="33" spans="1:5" s="500" customFormat="1" x14ac:dyDescent="0.2">
      <c r="A33" s="505" t="s">
        <v>644</v>
      </c>
      <c r="B33" s="502" t="s">
        <v>29</v>
      </c>
      <c r="C33" s="508"/>
      <c r="D33" s="508"/>
      <c r="E33" s="509"/>
    </row>
    <row r="34" spans="1:5" s="500" customFormat="1" ht="22.5" x14ac:dyDescent="0.2">
      <c r="A34" s="505" t="s">
        <v>645</v>
      </c>
      <c r="B34" s="502" t="s">
        <v>30</v>
      </c>
      <c r="C34" s="508"/>
      <c r="D34" s="508"/>
      <c r="E34" s="509"/>
    </row>
    <row r="35" spans="1:5" s="500" customFormat="1" x14ac:dyDescent="0.2">
      <c r="A35" s="505" t="s">
        <v>646</v>
      </c>
      <c r="B35" s="502" t="s">
        <v>31</v>
      </c>
      <c r="C35" s="508"/>
      <c r="D35" s="508"/>
      <c r="E35" s="509"/>
    </row>
    <row r="36" spans="1:5" s="500" customFormat="1" x14ac:dyDescent="0.2">
      <c r="A36" s="505" t="s">
        <v>647</v>
      </c>
      <c r="B36" s="502" t="s">
        <v>32</v>
      </c>
      <c r="C36" s="508"/>
      <c r="D36" s="508"/>
      <c r="E36" s="509"/>
    </row>
    <row r="37" spans="1:5" s="500" customFormat="1" x14ac:dyDescent="0.2">
      <c r="A37" s="501" t="s">
        <v>648</v>
      </c>
      <c r="B37" s="502" t="s">
        <v>33</v>
      </c>
      <c r="C37" s="510">
        <f>+C38+C43+C48</f>
        <v>73090111</v>
      </c>
      <c r="D37" s="510">
        <f>+D38+D43+D48</f>
        <v>70575616</v>
      </c>
      <c r="E37" s="511">
        <f>+E38+E43+E48</f>
        <v>0</v>
      </c>
    </row>
    <row r="38" spans="1:5" s="500" customFormat="1" x14ac:dyDescent="0.2">
      <c r="A38" s="501" t="s">
        <v>649</v>
      </c>
      <c r="B38" s="502" t="s">
        <v>600</v>
      </c>
      <c r="C38" s="510">
        <f>+C39+C40+C41+C42</f>
        <v>73090111</v>
      </c>
      <c r="D38" s="510">
        <f>+D39+D40+D41+D42</f>
        <v>70575616</v>
      </c>
      <c r="E38" s="511">
        <f>+E39+E40+E41+E42</f>
        <v>0</v>
      </c>
    </row>
    <row r="39" spans="1:5" s="500" customFormat="1" x14ac:dyDescent="0.2">
      <c r="A39" s="505" t="s">
        <v>650</v>
      </c>
      <c r="B39" s="502" t="s">
        <v>601</v>
      </c>
      <c r="C39" s="508"/>
      <c r="D39" s="508"/>
      <c r="E39" s="509"/>
    </row>
    <row r="40" spans="1:5" s="500" customFormat="1" x14ac:dyDescent="0.2">
      <c r="A40" s="505" t="s">
        <v>651</v>
      </c>
      <c r="B40" s="502" t="s">
        <v>602</v>
      </c>
      <c r="C40" s="508"/>
      <c r="D40" s="508"/>
      <c r="E40" s="509"/>
    </row>
    <row r="41" spans="1:5" s="500" customFormat="1" x14ac:dyDescent="0.2">
      <c r="A41" s="505" t="s">
        <v>652</v>
      </c>
      <c r="B41" s="502" t="s">
        <v>603</v>
      </c>
      <c r="C41" s="508">
        <v>33550350</v>
      </c>
      <c r="D41" s="508">
        <f>C41-2514495</f>
        <v>31035855</v>
      </c>
      <c r="E41" s="509"/>
    </row>
    <row r="42" spans="1:5" s="500" customFormat="1" x14ac:dyDescent="0.2">
      <c r="A42" s="505" t="s">
        <v>653</v>
      </c>
      <c r="B42" s="502" t="s">
        <v>604</v>
      </c>
      <c r="C42" s="508">
        <v>39539761</v>
      </c>
      <c r="D42" s="508">
        <v>39539761</v>
      </c>
      <c r="E42" s="509"/>
    </row>
    <row r="43" spans="1:5" s="500" customFormat="1" x14ac:dyDescent="0.2">
      <c r="A43" s="501" t="s">
        <v>654</v>
      </c>
      <c r="B43" s="502" t="s">
        <v>655</v>
      </c>
      <c r="C43" s="510">
        <f>+C44+C45+C46+C47</f>
        <v>0</v>
      </c>
      <c r="D43" s="510">
        <f>+D44+D45+D46+D47</f>
        <v>0</v>
      </c>
      <c r="E43" s="511">
        <f>+E44+E45+E46+E47</f>
        <v>0</v>
      </c>
    </row>
    <row r="44" spans="1:5" s="500" customFormat="1" x14ac:dyDescent="0.2">
      <c r="A44" s="505" t="s">
        <v>656</v>
      </c>
      <c r="B44" s="502" t="s">
        <v>657</v>
      </c>
      <c r="C44" s="508"/>
      <c r="D44" s="508"/>
      <c r="E44" s="509"/>
    </row>
    <row r="45" spans="1:5" s="500" customFormat="1" ht="22.5" x14ac:dyDescent="0.2">
      <c r="A45" s="505" t="s">
        <v>658</v>
      </c>
      <c r="B45" s="502" t="s">
        <v>659</v>
      </c>
      <c r="C45" s="508"/>
      <c r="D45" s="508"/>
      <c r="E45" s="509"/>
    </row>
    <row r="46" spans="1:5" s="500" customFormat="1" x14ac:dyDescent="0.2">
      <c r="A46" s="505" t="s">
        <v>660</v>
      </c>
      <c r="B46" s="502" t="s">
        <v>661</v>
      </c>
      <c r="C46" s="508"/>
      <c r="D46" s="508"/>
      <c r="E46" s="509"/>
    </row>
    <row r="47" spans="1:5" s="500" customFormat="1" x14ac:dyDescent="0.2">
      <c r="A47" s="505" t="s">
        <v>662</v>
      </c>
      <c r="B47" s="502" t="s">
        <v>663</v>
      </c>
      <c r="C47" s="508"/>
      <c r="D47" s="508"/>
      <c r="E47" s="509"/>
    </row>
    <row r="48" spans="1:5" s="500" customFormat="1" x14ac:dyDescent="0.2">
      <c r="A48" s="501" t="s">
        <v>664</v>
      </c>
      <c r="B48" s="502" t="s">
        <v>665</v>
      </c>
      <c r="C48" s="510">
        <f>+C49+C50+C51+C52</f>
        <v>0</v>
      </c>
      <c r="D48" s="510">
        <f>+D49+D50+D51+D52</f>
        <v>0</v>
      </c>
      <c r="E48" s="511">
        <f>+E49+E50+E51+E52</f>
        <v>0</v>
      </c>
    </row>
    <row r="49" spans="1:5" s="500" customFormat="1" x14ac:dyDescent="0.2">
      <c r="A49" s="505" t="s">
        <v>666</v>
      </c>
      <c r="B49" s="502" t="s">
        <v>667</v>
      </c>
      <c r="C49" s="508"/>
      <c r="D49" s="508"/>
      <c r="E49" s="509"/>
    </row>
    <row r="50" spans="1:5" s="500" customFormat="1" ht="22.5" x14ac:dyDescent="0.2">
      <c r="A50" s="505" t="s">
        <v>668</v>
      </c>
      <c r="B50" s="502" t="s">
        <v>669</v>
      </c>
      <c r="C50" s="508"/>
      <c r="D50" s="508"/>
      <c r="E50" s="509"/>
    </row>
    <row r="51" spans="1:5" s="500" customFormat="1" x14ac:dyDescent="0.2">
      <c r="A51" s="505" t="s">
        <v>670</v>
      </c>
      <c r="B51" s="502" t="s">
        <v>671</v>
      </c>
      <c r="C51" s="508"/>
      <c r="D51" s="508"/>
      <c r="E51" s="509"/>
    </row>
    <row r="52" spans="1:5" s="500" customFormat="1" x14ac:dyDescent="0.2">
      <c r="A52" s="505" t="s">
        <v>672</v>
      </c>
      <c r="B52" s="502" t="s">
        <v>673</v>
      </c>
      <c r="C52" s="508"/>
      <c r="D52" s="508"/>
      <c r="E52" s="509"/>
    </row>
    <row r="53" spans="1:5" s="500" customFormat="1" x14ac:dyDescent="0.2">
      <c r="A53" s="501" t="s">
        <v>674</v>
      </c>
      <c r="B53" s="502" t="s">
        <v>675</v>
      </c>
      <c r="C53" s="508">
        <v>780236187</v>
      </c>
      <c r="D53" s="508">
        <v>408924793</v>
      </c>
      <c r="E53" s="509"/>
    </row>
    <row r="54" spans="1:5" s="500" customFormat="1" ht="21" x14ac:dyDescent="0.2">
      <c r="A54" s="501" t="s">
        <v>676</v>
      </c>
      <c r="B54" s="502" t="s">
        <v>677</v>
      </c>
      <c r="C54" s="510">
        <f>+C10+C11+C37+C53</f>
        <v>2542505846</v>
      </c>
      <c r="D54" s="510">
        <f>+D10+D11+D37+D53</f>
        <v>1733444063</v>
      </c>
      <c r="E54" s="511">
        <f>+E10+E11+E37+E53</f>
        <v>0</v>
      </c>
    </row>
    <row r="55" spans="1:5" s="500" customFormat="1" x14ac:dyDescent="0.2">
      <c r="A55" s="501" t="s">
        <v>678</v>
      </c>
      <c r="B55" s="502" t="s">
        <v>679</v>
      </c>
      <c r="C55" s="508">
        <v>515905</v>
      </c>
      <c r="D55" s="508">
        <v>515905</v>
      </c>
      <c r="E55" s="509"/>
    </row>
    <row r="56" spans="1:5" s="500" customFormat="1" x14ac:dyDescent="0.2">
      <c r="A56" s="501" t="s">
        <v>680</v>
      </c>
      <c r="B56" s="502" t="s">
        <v>681</v>
      </c>
      <c r="C56" s="508"/>
      <c r="D56" s="508"/>
      <c r="E56" s="509"/>
    </row>
    <row r="57" spans="1:5" s="500" customFormat="1" x14ac:dyDescent="0.2">
      <c r="A57" s="501" t="s">
        <v>682</v>
      </c>
      <c r="B57" s="502" t="s">
        <v>683</v>
      </c>
      <c r="C57" s="510">
        <f>+C55+C56</f>
        <v>515905</v>
      </c>
      <c r="D57" s="510">
        <f>+D55+D56</f>
        <v>515905</v>
      </c>
      <c r="E57" s="511">
        <f>+E55+E56</f>
        <v>0</v>
      </c>
    </row>
    <row r="58" spans="1:5" s="500" customFormat="1" x14ac:dyDescent="0.2">
      <c r="A58" s="501" t="s">
        <v>684</v>
      </c>
      <c r="B58" s="502" t="s">
        <v>685</v>
      </c>
      <c r="C58" s="508"/>
      <c r="D58" s="508"/>
      <c r="E58" s="509"/>
    </row>
    <row r="59" spans="1:5" s="500" customFormat="1" x14ac:dyDescent="0.2">
      <c r="A59" s="501" t="s">
        <v>686</v>
      </c>
      <c r="B59" s="502" t="s">
        <v>687</v>
      </c>
      <c r="C59" s="508">
        <v>658110</v>
      </c>
      <c r="D59" s="508">
        <v>658110</v>
      </c>
      <c r="E59" s="509"/>
    </row>
    <row r="60" spans="1:5" s="500" customFormat="1" x14ac:dyDescent="0.2">
      <c r="A60" s="501" t="s">
        <v>688</v>
      </c>
      <c r="B60" s="502" t="s">
        <v>689</v>
      </c>
      <c r="C60" s="508">
        <v>71977662</v>
      </c>
      <c r="D60" s="508">
        <v>71977662</v>
      </c>
      <c r="E60" s="509"/>
    </row>
    <row r="61" spans="1:5" s="500" customFormat="1" x14ac:dyDescent="0.2">
      <c r="A61" s="501" t="s">
        <v>690</v>
      </c>
      <c r="B61" s="502" t="s">
        <v>691</v>
      </c>
      <c r="C61" s="508"/>
      <c r="D61" s="508"/>
      <c r="E61" s="509"/>
    </row>
    <row r="62" spans="1:5" s="500" customFormat="1" x14ac:dyDescent="0.2">
      <c r="A62" s="501" t="s">
        <v>692</v>
      </c>
      <c r="B62" s="502" t="s">
        <v>693</v>
      </c>
      <c r="C62" s="510">
        <f>+C58+C59+C60+C61</f>
        <v>72635772</v>
      </c>
      <c r="D62" s="510">
        <f>+D58+D59+D60+D61</f>
        <v>72635772</v>
      </c>
      <c r="E62" s="511">
        <f>+E58+E59+E60+E61</f>
        <v>0</v>
      </c>
    </row>
    <row r="63" spans="1:5" s="500" customFormat="1" x14ac:dyDescent="0.2">
      <c r="A63" s="501" t="s">
        <v>694</v>
      </c>
      <c r="B63" s="502" t="s">
        <v>695</v>
      </c>
      <c r="C63" s="508">
        <v>33323698</v>
      </c>
      <c r="D63" s="508">
        <f>C63-17712033</f>
        <v>15611665</v>
      </c>
      <c r="E63" s="509"/>
    </row>
    <row r="64" spans="1:5" s="500" customFormat="1" x14ac:dyDescent="0.2">
      <c r="A64" s="501" t="s">
        <v>696</v>
      </c>
      <c r="B64" s="502" t="s">
        <v>697</v>
      </c>
      <c r="C64" s="508">
        <v>5852456</v>
      </c>
      <c r="D64" s="508">
        <v>5852456</v>
      </c>
      <c r="E64" s="509"/>
    </row>
    <row r="65" spans="1:5" s="500" customFormat="1" x14ac:dyDescent="0.2">
      <c r="A65" s="501" t="s">
        <v>698</v>
      </c>
      <c r="B65" s="502" t="s">
        <v>699</v>
      </c>
      <c r="C65" s="508">
        <v>41592470</v>
      </c>
      <c r="D65" s="508">
        <v>41592470</v>
      </c>
      <c r="E65" s="509"/>
    </row>
    <row r="66" spans="1:5" s="500" customFormat="1" x14ac:dyDescent="0.2">
      <c r="A66" s="501" t="s">
        <v>700</v>
      </c>
      <c r="B66" s="502" t="s">
        <v>701</v>
      </c>
      <c r="C66" s="510">
        <f>+C63+C64+C65</f>
        <v>80768624</v>
      </c>
      <c r="D66" s="510">
        <f>+D63+D64+D65</f>
        <v>63056591</v>
      </c>
      <c r="E66" s="511">
        <f>+E63+E64+E65</f>
        <v>0</v>
      </c>
    </row>
    <row r="67" spans="1:5" s="500" customFormat="1" x14ac:dyDescent="0.2">
      <c r="A67" s="501" t="s">
        <v>702</v>
      </c>
      <c r="B67" s="502" t="s">
        <v>703</v>
      </c>
      <c r="C67" s="508"/>
      <c r="D67" s="508"/>
      <c r="E67" s="509"/>
    </row>
    <row r="68" spans="1:5" s="500" customFormat="1" ht="21" x14ac:dyDescent="0.2">
      <c r="A68" s="501" t="s">
        <v>704</v>
      </c>
      <c r="B68" s="502" t="s">
        <v>705</v>
      </c>
      <c r="C68" s="508"/>
      <c r="D68" s="508"/>
      <c r="E68" s="509"/>
    </row>
    <row r="69" spans="1:5" s="500" customFormat="1" x14ac:dyDescent="0.2">
      <c r="A69" s="501" t="s">
        <v>771</v>
      </c>
      <c r="B69" s="502" t="s">
        <v>706</v>
      </c>
      <c r="C69" s="510">
        <v>658390</v>
      </c>
      <c r="D69" s="510">
        <v>658390</v>
      </c>
      <c r="E69" s="511">
        <f>+E67+E68</f>
        <v>0</v>
      </c>
    </row>
    <row r="70" spans="1:5" s="500" customFormat="1" x14ac:dyDescent="0.2">
      <c r="A70" s="501" t="s">
        <v>707</v>
      </c>
      <c r="B70" s="502" t="s">
        <v>708</v>
      </c>
      <c r="C70" s="508"/>
      <c r="D70" s="508"/>
      <c r="E70" s="509"/>
    </row>
    <row r="71" spans="1:5" s="500" customFormat="1" ht="16.5" thickBot="1" x14ac:dyDescent="0.25">
      <c r="A71" s="512" t="s">
        <v>709</v>
      </c>
      <c r="B71" s="513" t="s">
        <v>710</v>
      </c>
      <c r="C71" s="514">
        <f>+C54+C57+C62+C66+C69+C70</f>
        <v>2697084537</v>
      </c>
      <c r="D71" s="514">
        <f>+D54+D57+D62+D66+D69+D70</f>
        <v>1870310721</v>
      </c>
      <c r="E71" s="515">
        <f>+E54+E57+E62+E66+E69+E70</f>
        <v>0</v>
      </c>
    </row>
    <row r="72" spans="1:5" x14ac:dyDescent="0.25">
      <c r="A72" s="516"/>
      <c r="C72" s="517"/>
      <c r="D72" s="517"/>
      <c r="E72" s="518"/>
    </row>
    <row r="73" spans="1:5" x14ac:dyDescent="0.25">
      <c r="A73" s="516"/>
      <c r="C73" s="517"/>
      <c r="D73" s="517"/>
      <c r="E73" s="518"/>
    </row>
    <row r="74" spans="1:5" x14ac:dyDescent="0.25">
      <c r="A74" s="519"/>
      <c r="C74" s="517"/>
      <c r="D74" s="517"/>
      <c r="E74" s="518"/>
    </row>
    <row r="75" spans="1:5" x14ac:dyDescent="0.25">
      <c r="A75" s="958"/>
      <c r="B75" s="958"/>
      <c r="C75" s="958"/>
      <c r="D75" s="958"/>
      <c r="E75" s="958"/>
    </row>
    <row r="76" spans="1:5" x14ac:dyDescent="0.25">
      <c r="A76" s="958"/>
      <c r="B76" s="958"/>
      <c r="C76" s="958"/>
      <c r="D76" s="958"/>
      <c r="E76" s="958"/>
    </row>
  </sheetData>
  <mergeCells count="13">
    <mergeCell ref="D6:D7"/>
    <mergeCell ref="E6:E7"/>
    <mergeCell ref="C8:E8"/>
    <mergeCell ref="A75:E75"/>
    <mergeCell ref="A76:E76"/>
    <mergeCell ref="A1:E1"/>
    <mergeCell ref="A2:E2"/>
    <mergeCell ref="A3:E3"/>
    <mergeCell ref="A4:E4"/>
    <mergeCell ref="C5:E5"/>
    <mergeCell ref="A6:A8"/>
    <mergeCell ref="B6:B8"/>
    <mergeCell ref="C6:C7"/>
  </mergeCells>
  <printOptions horizontalCentered="1"/>
  <pageMargins left="0.78740157480314965" right="0.82677165354330717" top="0.9055118110236221" bottom="0.98425196850393704" header="0.78740157480314965" footer="0.78740157480314965"/>
  <pageSetup paperSize="9" scale="85" orientation="portrait" horizontalDpi="300" verticalDpi="300" r:id="rId1"/>
  <headerFooter alignWithMargins="0">
    <oddFooter>&amp;C&amp;P</oddFooter>
  </headerFooter>
  <rowBreaks count="1" manualBreakCount="1">
    <brk id="47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5DBD-2513-464E-B83D-028E3379D35E}">
  <sheetPr>
    <tabColor theme="5"/>
  </sheetPr>
  <dimension ref="A1:E28"/>
  <sheetViews>
    <sheetView view="pageLayout" zoomScaleNormal="120" workbookViewId="0">
      <selection activeCell="A15" sqref="A15"/>
    </sheetView>
  </sheetViews>
  <sheetFormatPr defaultRowHeight="12.75" x14ac:dyDescent="0.2"/>
  <cols>
    <col min="1" max="1" width="71.1640625" style="522" customWidth="1"/>
    <col min="2" max="2" width="6.1640625" style="534" customWidth="1"/>
    <col min="3" max="3" width="18" style="521" customWidth="1"/>
    <col min="4" max="16384" width="9.33203125" style="521"/>
  </cols>
  <sheetData>
    <row r="1" spans="1:3" ht="16.5" customHeight="1" x14ac:dyDescent="0.2">
      <c r="A1" s="978" t="str">
        <f>CONCATENATE("7.2. tájékoztató tábla ",Z_ALAPADATOK!A7," ",Z_ALAPADATOK!B7," ",Z_ALAPADATOK!C7," ",Z_ALAPADATOK!D7," ",Z_ALAPADATOK!E7," ",Z_ALAPADATOK!F7," ",Z_ALAPADATOK!G7," ",Z_ALAPADATOK!H7)</f>
        <v>7.2. tájékoztató tábla a … / 2022. ( … ) önkormányzati rendelethez</v>
      </c>
      <c r="B1" s="979"/>
      <c r="C1" s="979"/>
    </row>
    <row r="2" spans="1:3" ht="16.5" customHeight="1" x14ac:dyDescent="0.2">
      <c r="A2" s="606"/>
      <c r="B2" s="607"/>
      <c r="C2" s="608"/>
    </row>
    <row r="3" spans="1:3" ht="16.5" customHeight="1" x14ac:dyDescent="0.2">
      <c r="A3" s="982" t="s">
        <v>773</v>
      </c>
      <c r="B3" s="982"/>
      <c r="C3" s="982"/>
    </row>
    <row r="4" spans="1:3" ht="16.5" customHeight="1" x14ac:dyDescent="0.2">
      <c r="A4" s="980" t="s">
        <v>817</v>
      </c>
      <c r="B4" s="980"/>
      <c r="C4" s="980"/>
    </row>
    <row r="5" spans="1:3" ht="16.5" customHeight="1" x14ac:dyDescent="0.2">
      <c r="A5" s="980" t="str">
        <f>'Z_7.1.tájékoztató_t.'!A4</f>
        <v>2021. év</v>
      </c>
      <c r="B5" s="981"/>
      <c r="C5" s="981"/>
    </row>
    <row r="6" spans="1:3" ht="13.5" thickBot="1" x14ac:dyDescent="0.25">
      <c r="A6" s="606"/>
      <c r="B6" s="983" t="str">
        <f>'Z_6.tájékoztató_t.'!E6</f>
        <v xml:space="preserve"> Forintban!</v>
      </c>
      <c r="C6" s="983"/>
    </row>
    <row r="7" spans="1:3" s="523" customFormat="1" ht="31.5" customHeight="1" x14ac:dyDescent="0.2">
      <c r="A7" s="984" t="s">
        <v>711</v>
      </c>
      <c r="B7" s="986" t="s">
        <v>606</v>
      </c>
      <c r="C7" s="988" t="s">
        <v>712</v>
      </c>
    </row>
    <row r="8" spans="1:3" s="523" customFormat="1" x14ac:dyDescent="0.2">
      <c r="A8" s="985"/>
      <c r="B8" s="987"/>
      <c r="C8" s="989"/>
    </row>
    <row r="9" spans="1:3" s="524" customFormat="1" ht="13.5" thickBot="1" x14ac:dyDescent="0.25">
      <c r="A9" s="609" t="s">
        <v>385</v>
      </c>
      <c r="B9" s="610" t="s">
        <v>386</v>
      </c>
      <c r="C9" s="611" t="s">
        <v>387</v>
      </c>
    </row>
    <row r="10" spans="1:3" ht="15.75" customHeight="1" x14ac:dyDescent="0.2">
      <c r="A10" s="501" t="s">
        <v>713</v>
      </c>
      <c r="B10" s="525" t="s">
        <v>613</v>
      </c>
      <c r="C10" s="526">
        <v>2270272000</v>
      </c>
    </row>
    <row r="11" spans="1:3" ht="15.75" customHeight="1" x14ac:dyDescent="0.2">
      <c r="A11" s="501" t="s">
        <v>714</v>
      </c>
      <c r="B11" s="502" t="s">
        <v>615</v>
      </c>
      <c r="C11" s="526">
        <v>-130847393</v>
      </c>
    </row>
    <row r="12" spans="1:3" ht="15.75" customHeight="1" x14ac:dyDescent="0.2">
      <c r="A12" s="501" t="s">
        <v>715</v>
      </c>
      <c r="B12" s="502" t="s">
        <v>617</v>
      </c>
      <c r="C12" s="526">
        <v>3765151</v>
      </c>
    </row>
    <row r="13" spans="1:3" ht="15.75" customHeight="1" x14ac:dyDescent="0.2">
      <c r="A13" s="501" t="s">
        <v>716</v>
      </c>
      <c r="B13" s="502" t="s">
        <v>619</v>
      </c>
      <c r="C13" s="527">
        <v>-543022378</v>
      </c>
    </row>
    <row r="14" spans="1:3" ht="15.75" customHeight="1" x14ac:dyDescent="0.2">
      <c r="A14" s="501" t="s">
        <v>717</v>
      </c>
      <c r="B14" s="502" t="s">
        <v>621</v>
      </c>
      <c r="C14" s="527"/>
    </row>
    <row r="15" spans="1:3" ht="15.75" customHeight="1" x14ac:dyDescent="0.2">
      <c r="A15" s="501" t="s">
        <v>718</v>
      </c>
      <c r="B15" s="502" t="s">
        <v>623</v>
      </c>
      <c r="C15" s="527">
        <v>-146677756</v>
      </c>
    </row>
    <row r="16" spans="1:3" ht="15.75" customHeight="1" x14ac:dyDescent="0.2">
      <c r="A16" s="501" t="s">
        <v>719</v>
      </c>
      <c r="B16" s="502" t="s">
        <v>625</v>
      </c>
      <c r="C16" s="528">
        <f>+C10+C11+C12+C13+C14+C15</f>
        <v>1453489624</v>
      </c>
    </row>
    <row r="17" spans="1:5" ht="15.75" customHeight="1" x14ac:dyDescent="0.2">
      <c r="A17" s="501" t="s">
        <v>720</v>
      </c>
      <c r="B17" s="502" t="s">
        <v>627</v>
      </c>
      <c r="C17" s="529">
        <v>1770878</v>
      </c>
    </row>
    <row r="18" spans="1:5" ht="15.75" customHeight="1" x14ac:dyDescent="0.2">
      <c r="A18" s="501" t="s">
        <v>721</v>
      </c>
      <c r="B18" s="502" t="s">
        <v>629</v>
      </c>
      <c r="C18" s="527">
        <v>7086241</v>
      </c>
    </row>
    <row r="19" spans="1:5" ht="15.75" customHeight="1" x14ac:dyDescent="0.2">
      <c r="A19" s="501" t="s">
        <v>722</v>
      </c>
      <c r="B19" s="502" t="s">
        <v>15</v>
      </c>
      <c r="C19" s="527">
        <v>2992665</v>
      </c>
    </row>
    <row r="20" spans="1:5" ht="15.75" customHeight="1" x14ac:dyDescent="0.2">
      <c r="A20" s="501" t="s">
        <v>723</v>
      </c>
      <c r="B20" s="502" t="s">
        <v>16</v>
      </c>
      <c r="C20" s="528">
        <f>+C17+C18+C19</f>
        <v>11849784</v>
      </c>
    </row>
    <row r="21" spans="1:5" s="530" customFormat="1" ht="15.75" customHeight="1" x14ac:dyDescent="0.2">
      <c r="A21" s="501" t="s">
        <v>724</v>
      </c>
      <c r="B21" s="502" t="s">
        <v>17</v>
      </c>
      <c r="C21" s="527"/>
    </row>
    <row r="22" spans="1:5" ht="15.75" customHeight="1" x14ac:dyDescent="0.2">
      <c r="A22" s="501" t="s">
        <v>725</v>
      </c>
      <c r="B22" s="502" t="s">
        <v>18</v>
      </c>
      <c r="C22" s="527">
        <v>404971313</v>
      </c>
    </row>
    <row r="23" spans="1:5" ht="15.75" customHeight="1" thickBot="1" x14ac:dyDescent="0.25">
      <c r="A23" s="531" t="s">
        <v>726</v>
      </c>
      <c r="B23" s="513" t="s">
        <v>19</v>
      </c>
      <c r="C23" s="532">
        <f>+C16+C20+C21+C22</f>
        <v>1870310721</v>
      </c>
    </row>
    <row r="24" spans="1:5" ht="15.75" x14ac:dyDescent="0.25">
      <c r="A24" s="516"/>
      <c r="B24" s="519"/>
      <c r="C24" s="517"/>
      <c r="D24" s="517"/>
      <c r="E24" s="517"/>
    </row>
    <row r="25" spans="1:5" ht="15.75" x14ac:dyDescent="0.25">
      <c r="A25" s="516"/>
      <c r="B25" s="519"/>
      <c r="C25" s="517"/>
      <c r="D25" s="517"/>
      <c r="E25" s="517"/>
    </row>
    <row r="26" spans="1:5" ht="15.75" x14ac:dyDescent="0.25">
      <c r="A26" s="519"/>
      <c r="B26" s="519"/>
      <c r="C26" s="517"/>
      <c r="D26" s="517"/>
      <c r="E26" s="517"/>
    </row>
    <row r="27" spans="1:5" ht="15.75" x14ac:dyDescent="0.25">
      <c r="A27" s="977"/>
      <c r="B27" s="977"/>
      <c r="C27" s="977"/>
      <c r="D27" s="533"/>
      <c r="E27" s="533"/>
    </row>
    <row r="28" spans="1:5" ht="15.75" x14ac:dyDescent="0.25">
      <c r="A28" s="977"/>
      <c r="B28" s="977"/>
      <c r="C28" s="977"/>
      <c r="D28" s="533"/>
      <c r="E28" s="533"/>
    </row>
  </sheetData>
  <sheetProtection sheet="1"/>
  <mergeCells count="10">
    <mergeCell ref="A27:C27"/>
    <mergeCell ref="A28:C28"/>
    <mergeCell ref="A1:C1"/>
    <mergeCell ref="A5:C5"/>
    <mergeCell ref="A3:C3"/>
    <mergeCell ref="A4:C4"/>
    <mergeCell ref="B6:C6"/>
    <mergeCell ref="A7:A8"/>
    <mergeCell ref="B7:B8"/>
    <mergeCell ref="C7:C8"/>
  </mergeCells>
  <printOptions horizontalCentered="1"/>
  <pageMargins left="0.78740157480314965" right="0.78740157480314965" top="1.0629921259842521" bottom="0.98425196850393704" header="0.78740157480314965" footer="0.78740157480314965"/>
  <pageSetup paperSize="9" scale="95" orientation="portrait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5807-2916-4BB3-BC50-500A97EC1ED2}">
  <sheetPr>
    <tabColor theme="5"/>
  </sheetPr>
  <dimension ref="A1:F46"/>
  <sheetViews>
    <sheetView zoomScale="120" zoomScaleNormal="120" workbookViewId="0">
      <selection activeCell="C17" sqref="C17"/>
    </sheetView>
  </sheetViews>
  <sheetFormatPr defaultColWidth="12" defaultRowHeight="15.75" x14ac:dyDescent="0.25"/>
  <cols>
    <col min="1" max="1" width="58.83203125" style="535" customWidth="1"/>
    <col min="2" max="2" width="6.83203125" style="535" customWidth="1"/>
    <col min="3" max="3" width="17.1640625" style="535" customWidth="1"/>
    <col min="4" max="4" width="19.1640625" style="535" customWidth="1"/>
    <col min="5" max="16384" width="12" style="535"/>
  </cols>
  <sheetData>
    <row r="1" spans="1:4" ht="16.5" customHeight="1" x14ac:dyDescent="0.25">
      <c r="A1" s="995" t="str">
        <f>CONCATENATE("7.3. tájékoztató tábla ",Z_ALAPADATOK!A7," ",Z_ALAPADATOK!B7," ",Z_ALAPADATOK!C7," ",Z_ALAPADATOK!D7," ",Z_ALAPADATOK!E7," ",Z_ALAPADATOK!F7," ",Z_ALAPADATOK!G7," ",Z_ALAPADATOK!H7)</f>
        <v>7.3. tájékoztató tábla a … / 2022. ( … ) önkormányzati rendelethez</v>
      </c>
      <c r="B1" s="995"/>
      <c r="C1" s="995"/>
      <c r="D1" s="995"/>
    </row>
    <row r="2" spans="1:4" s="612" customFormat="1" ht="16.5" customHeight="1" x14ac:dyDescent="0.25"/>
    <row r="3" spans="1:4" s="563" customFormat="1" ht="16.5" customHeight="1" x14ac:dyDescent="0.25">
      <c r="A3" s="996" t="s">
        <v>773</v>
      </c>
      <c r="B3" s="996"/>
      <c r="C3" s="996"/>
      <c r="D3" s="996"/>
    </row>
    <row r="4" spans="1:4" s="563" customFormat="1" ht="16.5" customHeight="1" x14ac:dyDescent="0.25">
      <c r="A4" s="996" t="s">
        <v>777</v>
      </c>
      <c r="B4" s="996"/>
      <c r="C4" s="996"/>
      <c r="D4" s="996"/>
    </row>
    <row r="5" spans="1:4" s="563" customFormat="1" ht="16.5" customHeight="1" x14ac:dyDescent="0.25">
      <c r="A5" s="990" t="str">
        <f>'Z_7.1.tájékoztató_t.'!A4</f>
        <v>2021. év</v>
      </c>
      <c r="B5" s="991"/>
      <c r="C5" s="991"/>
      <c r="D5" s="991"/>
    </row>
    <row r="6" spans="1:4" ht="16.5" customHeight="1" thickBot="1" x14ac:dyDescent="0.3"/>
    <row r="7" spans="1:4" ht="43.5" customHeight="1" thickBot="1" x14ac:dyDescent="0.3">
      <c r="A7" s="536" t="s">
        <v>44</v>
      </c>
      <c r="B7" s="537" t="s">
        <v>606</v>
      </c>
      <c r="C7" s="538" t="s">
        <v>727</v>
      </c>
      <c r="D7" s="539" t="s">
        <v>728</v>
      </c>
    </row>
    <row r="8" spans="1:4" ht="16.5" thickBot="1" x14ac:dyDescent="0.3">
      <c r="A8" s="540" t="s">
        <v>385</v>
      </c>
      <c r="B8" s="541" t="s">
        <v>386</v>
      </c>
      <c r="C8" s="541" t="s">
        <v>387</v>
      </c>
      <c r="D8" s="542" t="s">
        <v>389</v>
      </c>
    </row>
    <row r="9" spans="1:4" ht="15.75" customHeight="1" x14ac:dyDescent="0.25">
      <c r="A9" s="543" t="s">
        <v>729</v>
      </c>
      <c r="B9" s="544" t="s">
        <v>6</v>
      </c>
      <c r="C9" s="545"/>
      <c r="D9" s="546">
        <v>73878312</v>
      </c>
    </row>
    <row r="10" spans="1:4" ht="15.75" customHeight="1" x14ac:dyDescent="0.25">
      <c r="A10" s="543" t="s">
        <v>730</v>
      </c>
      <c r="B10" s="547" t="s">
        <v>7</v>
      </c>
      <c r="C10" s="548"/>
      <c r="D10" s="549">
        <v>43012819</v>
      </c>
    </row>
    <row r="11" spans="1:4" ht="15.75" customHeight="1" x14ac:dyDescent="0.25">
      <c r="A11" s="543" t="s">
        <v>731</v>
      </c>
      <c r="B11" s="547" t="s">
        <v>8</v>
      </c>
      <c r="C11" s="548"/>
      <c r="D11" s="549"/>
    </row>
    <row r="12" spans="1:4" ht="15.75" customHeight="1" thickBot="1" x14ac:dyDescent="0.3">
      <c r="A12" s="550" t="s">
        <v>732</v>
      </c>
      <c r="B12" s="551" t="s">
        <v>9</v>
      </c>
      <c r="C12" s="552"/>
      <c r="D12" s="553"/>
    </row>
    <row r="13" spans="1:4" ht="15.75" customHeight="1" thickBot="1" x14ac:dyDescent="0.3">
      <c r="A13" s="554" t="s">
        <v>733</v>
      </c>
      <c r="B13" s="555" t="s">
        <v>10</v>
      </c>
      <c r="C13" s="696"/>
      <c r="D13" s="556">
        <f>+D14+D15+D16+D17</f>
        <v>227539721</v>
      </c>
    </row>
    <row r="14" spans="1:4" ht="15.75" customHeight="1" x14ac:dyDescent="0.25">
      <c r="A14" s="557" t="s">
        <v>734</v>
      </c>
      <c r="B14" s="544" t="s">
        <v>11</v>
      </c>
      <c r="C14" s="545"/>
      <c r="D14" s="546">
        <v>227539721</v>
      </c>
    </row>
    <row r="15" spans="1:4" ht="15.75" customHeight="1" x14ac:dyDescent="0.25">
      <c r="A15" s="543" t="s">
        <v>735</v>
      </c>
      <c r="B15" s="547" t="s">
        <v>12</v>
      </c>
      <c r="C15" s="548"/>
      <c r="D15" s="549"/>
    </row>
    <row r="16" spans="1:4" ht="15.75" customHeight="1" x14ac:dyDescent="0.25">
      <c r="A16" s="543" t="s">
        <v>736</v>
      </c>
      <c r="B16" s="547" t="s">
        <v>13</v>
      </c>
      <c r="C16" s="548"/>
      <c r="D16" s="549"/>
    </row>
    <row r="17" spans="1:4" ht="15.75" customHeight="1" thickBot="1" x14ac:dyDescent="0.3">
      <c r="A17" s="550" t="s">
        <v>737</v>
      </c>
      <c r="B17" s="551" t="s">
        <v>14</v>
      </c>
      <c r="C17" s="552"/>
      <c r="D17" s="553"/>
    </row>
    <row r="18" spans="1:4" ht="15.75" customHeight="1" thickBot="1" x14ac:dyDescent="0.3">
      <c r="A18" s="554" t="s">
        <v>738</v>
      </c>
      <c r="B18" s="555" t="s">
        <v>15</v>
      </c>
      <c r="C18" s="696"/>
      <c r="D18" s="556">
        <f>+D19+D20+D21</f>
        <v>0</v>
      </c>
    </row>
    <row r="19" spans="1:4" ht="15.75" customHeight="1" x14ac:dyDescent="0.25">
      <c r="A19" s="557" t="s">
        <v>739</v>
      </c>
      <c r="B19" s="544" t="s">
        <v>16</v>
      </c>
      <c r="C19" s="545"/>
      <c r="D19" s="546"/>
    </row>
    <row r="20" spans="1:4" ht="15.75" customHeight="1" x14ac:dyDescent="0.25">
      <c r="A20" s="543" t="s">
        <v>740</v>
      </c>
      <c r="B20" s="547" t="s">
        <v>17</v>
      </c>
      <c r="C20" s="548"/>
      <c r="D20" s="549"/>
    </row>
    <row r="21" spans="1:4" ht="15.75" customHeight="1" thickBot="1" x14ac:dyDescent="0.3">
      <c r="A21" s="550" t="s">
        <v>741</v>
      </c>
      <c r="B21" s="551" t="s">
        <v>18</v>
      </c>
      <c r="C21" s="552"/>
      <c r="D21" s="553"/>
    </row>
    <row r="22" spans="1:4" ht="15.75" customHeight="1" thickBot="1" x14ac:dyDescent="0.3">
      <c r="A22" s="554" t="s">
        <v>742</v>
      </c>
      <c r="B22" s="555" t="s">
        <v>19</v>
      </c>
      <c r="C22" s="696"/>
      <c r="D22" s="556">
        <f>+D23+D24+D25</f>
        <v>0</v>
      </c>
    </row>
    <row r="23" spans="1:4" ht="15.75" customHeight="1" x14ac:dyDescent="0.25">
      <c r="A23" s="557" t="s">
        <v>743</v>
      </c>
      <c r="B23" s="544" t="s">
        <v>20</v>
      </c>
      <c r="C23" s="545"/>
      <c r="D23" s="546"/>
    </row>
    <row r="24" spans="1:4" ht="15.75" customHeight="1" x14ac:dyDescent="0.25">
      <c r="A24" s="543" t="s">
        <v>744</v>
      </c>
      <c r="B24" s="547" t="s">
        <v>21</v>
      </c>
      <c r="C24" s="548"/>
      <c r="D24" s="549"/>
    </row>
    <row r="25" spans="1:4" ht="15.75" customHeight="1" x14ac:dyDescent="0.25">
      <c r="A25" s="543" t="s">
        <v>745</v>
      </c>
      <c r="B25" s="547" t="s">
        <v>22</v>
      </c>
      <c r="C25" s="548"/>
      <c r="D25" s="549"/>
    </row>
    <row r="26" spans="1:4" ht="15.75" customHeight="1" x14ac:dyDescent="0.25">
      <c r="A26" s="543" t="s">
        <v>746</v>
      </c>
      <c r="B26" s="547" t="s">
        <v>23</v>
      </c>
      <c r="C26" s="548"/>
      <c r="D26" s="549"/>
    </row>
    <row r="27" spans="1:4" ht="15.75" customHeight="1" x14ac:dyDescent="0.25">
      <c r="A27" s="543"/>
      <c r="B27" s="547" t="s">
        <v>24</v>
      </c>
      <c r="C27" s="548"/>
      <c r="D27" s="549"/>
    </row>
    <row r="28" spans="1:4" ht="15.75" customHeight="1" x14ac:dyDescent="0.25">
      <c r="A28" s="543"/>
      <c r="B28" s="547" t="s">
        <v>25</v>
      </c>
      <c r="C28" s="548"/>
      <c r="D28" s="549"/>
    </row>
    <row r="29" spans="1:4" ht="15.75" customHeight="1" x14ac:dyDescent="0.25">
      <c r="A29" s="543"/>
      <c r="B29" s="547" t="s">
        <v>26</v>
      </c>
      <c r="C29" s="548"/>
      <c r="D29" s="549"/>
    </row>
    <row r="30" spans="1:4" ht="15.75" customHeight="1" x14ac:dyDescent="0.25">
      <c r="A30" s="543"/>
      <c r="B30" s="547" t="s">
        <v>27</v>
      </c>
      <c r="C30" s="548"/>
      <c r="D30" s="549"/>
    </row>
    <row r="31" spans="1:4" ht="15.75" customHeight="1" x14ac:dyDescent="0.25">
      <c r="A31" s="543"/>
      <c r="B31" s="547" t="s">
        <v>28</v>
      </c>
      <c r="C31" s="548"/>
      <c r="D31" s="549"/>
    </row>
    <row r="32" spans="1:4" ht="15.75" customHeight="1" x14ac:dyDescent="0.25">
      <c r="A32" s="543"/>
      <c r="B32" s="547" t="s">
        <v>29</v>
      </c>
      <c r="C32" s="548"/>
      <c r="D32" s="549"/>
    </row>
    <row r="33" spans="1:6" ht="15.75" customHeight="1" x14ac:dyDescent="0.25">
      <c r="A33" s="543"/>
      <c r="B33" s="547" t="s">
        <v>30</v>
      </c>
      <c r="C33" s="548"/>
      <c r="D33" s="549"/>
    </row>
    <row r="34" spans="1:6" ht="15.75" customHeight="1" x14ac:dyDescent="0.25">
      <c r="A34" s="543"/>
      <c r="B34" s="547" t="s">
        <v>31</v>
      </c>
      <c r="C34" s="548"/>
      <c r="D34" s="549"/>
    </row>
    <row r="35" spans="1:6" ht="15.75" customHeight="1" x14ac:dyDescent="0.25">
      <c r="A35" s="543"/>
      <c r="B35" s="547" t="s">
        <v>32</v>
      </c>
      <c r="C35" s="548"/>
      <c r="D35" s="549"/>
    </row>
    <row r="36" spans="1:6" ht="15.75" customHeight="1" x14ac:dyDescent="0.25">
      <c r="A36" s="543"/>
      <c r="B36" s="547" t="s">
        <v>33</v>
      </c>
      <c r="C36" s="548"/>
      <c r="D36" s="549"/>
    </row>
    <row r="37" spans="1:6" ht="15.75" customHeight="1" x14ac:dyDescent="0.25">
      <c r="A37" s="543"/>
      <c r="B37" s="547" t="s">
        <v>600</v>
      </c>
      <c r="C37" s="548"/>
      <c r="D37" s="549"/>
    </row>
    <row r="38" spans="1:6" ht="15.75" customHeight="1" x14ac:dyDescent="0.25">
      <c r="A38" s="543"/>
      <c r="B38" s="547" t="s">
        <v>601</v>
      </c>
      <c r="C38" s="548"/>
      <c r="D38" s="549"/>
    </row>
    <row r="39" spans="1:6" ht="15.75" customHeight="1" x14ac:dyDescent="0.25">
      <c r="A39" s="543"/>
      <c r="B39" s="547" t="s">
        <v>602</v>
      </c>
      <c r="C39" s="548"/>
      <c r="D39" s="549"/>
    </row>
    <row r="40" spans="1:6" ht="15.75" customHeight="1" x14ac:dyDescent="0.25">
      <c r="A40" s="543"/>
      <c r="B40" s="547" t="s">
        <v>603</v>
      </c>
      <c r="C40" s="548"/>
      <c r="D40" s="549"/>
    </row>
    <row r="41" spans="1:6" ht="15.75" customHeight="1" thickBot="1" x14ac:dyDescent="0.3">
      <c r="A41" s="550"/>
      <c r="B41" s="551" t="s">
        <v>604</v>
      </c>
      <c r="C41" s="552"/>
      <c r="D41" s="553"/>
    </row>
    <row r="42" spans="1:6" ht="15.75" customHeight="1" thickBot="1" x14ac:dyDescent="0.3">
      <c r="A42" s="992" t="s">
        <v>747</v>
      </c>
      <c r="B42" s="993"/>
      <c r="C42" s="558"/>
      <c r="D42" s="556">
        <f>+D9+D10+D11+D12+D13+D18+D22+D26+D27+D28+D29+D30+D31+D32+D33+D34+D35+D36+D37+D38+D39+D40+D41</f>
        <v>344430852</v>
      </c>
      <c r="F42" s="559"/>
    </row>
    <row r="43" spans="1:6" x14ac:dyDescent="0.25">
      <c r="A43" s="560" t="s">
        <v>748</v>
      </c>
    </row>
    <row r="44" spans="1:6" x14ac:dyDescent="0.25">
      <c r="A44" s="561"/>
      <c r="B44" s="561"/>
      <c r="C44" s="994"/>
      <c r="D44" s="994"/>
    </row>
    <row r="45" spans="1:6" x14ac:dyDescent="0.25">
      <c r="A45" s="562"/>
      <c r="B45" s="562"/>
    </row>
    <row r="46" spans="1:6" x14ac:dyDescent="0.25">
      <c r="A46" s="562"/>
      <c r="B46" s="562"/>
      <c r="C46" s="562"/>
    </row>
  </sheetData>
  <sheetProtection sheet="1"/>
  <mergeCells count="6">
    <mergeCell ref="A5:D5"/>
    <mergeCell ref="A42:B42"/>
    <mergeCell ref="C44:D44"/>
    <mergeCell ref="A1:D1"/>
    <mergeCell ref="A3:D3"/>
    <mergeCell ref="A4:D4"/>
  </mergeCells>
  <printOptions horizontalCentered="1"/>
  <pageMargins left="0.78740157480314965" right="0.78740157480314965" top="0.94488188976377963" bottom="0.98425196850393704" header="0.78740157480314965" footer="0.78740157480314965"/>
  <pageSetup paperSize="9" scale="93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ED0E-4702-4EA8-9CBB-ADD0927AA63C}">
  <sheetPr>
    <tabColor theme="5"/>
  </sheetPr>
  <dimension ref="A1:F24"/>
  <sheetViews>
    <sheetView zoomScale="120" zoomScaleNormal="120" workbookViewId="0">
      <selection activeCell="B13" sqref="B13"/>
    </sheetView>
  </sheetViews>
  <sheetFormatPr defaultRowHeight="12.75" x14ac:dyDescent="0.2"/>
  <cols>
    <col min="1" max="1" width="9.33203125" style="82"/>
    <col min="2" max="2" width="49.1640625" style="82" customWidth="1"/>
    <col min="3" max="3" width="25" style="82" customWidth="1"/>
    <col min="4" max="4" width="22.83203125" style="82" customWidth="1"/>
    <col min="5" max="5" width="25" style="82" customWidth="1"/>
    <col min="6" max="6" width="5.5" style="82" customWidth="1"/>
    <col min="7" max="16384" width="9.33203125" style="82"/>
  </cols>
  <sheetData>
    <row r="1" spans="1:6" x14ac:dyDescent="0.2">
      <c r="A1" s="616"/>
      <c r="B1" s="616"/>
      <c r="C1" s="616"/>
      <c r="D1" s="616"/>
      <c r="E1" s="616"/>
    </row>
    <row r="2" spans="1:6" ht="15.75" x14ac:dyDescent="0.25">
      <c r="A2" s="808" t="str">
        <f>CONCATENATE(PROPER(Z_ALAPADATOK!A3)," tulajdonában álló gazdálkodó szervezetek működéséből származó")</f>
        <v>Sajószöged Községi Önkormányzat tulajdonában álló gazdálkodó szervezetek működéséből származó</v>
      </c>
      <c r="B2" s="808"/>
      <c r="C2" s="808"/>
      <c r="D2" s="808"/>
      <c r="E2" s="808"/>
    </row>
    <row r="3" spans="1:6" ht="15.75" x14ac:dyDescent="0.25">
      <c r="A3" s="1000" t="str">
        <f>CONCATENATE("kötelezettségek és részesedések alakulása ",Z_ALAPADATOK!B1,". évben")</f>
        <v>kötelezettségek és részesedések alakulása 2021. évben</v>
      </c>
      <c r="B3" s="808"/>
      <c r="C3" s="808"/>
      <c r="D3" s="808"/>
      <c r="E3" s="808"/>
      <c r="F3" s="997" t="str">
        <f>CONCATENATE("8. tájékoztató tábla ",Z_ALAPADATOK!A7," ",Z_ALAPADATOK!B7," ",Z_ALAPADATOK!C7," ",Z_ALAPADATOK!D7," ",Z_ALAPADATOK!E7," ",Z_ALAPADATOK!F7," ",Z_ALAPADATOK!G7," ",Z_ALAPADATOK!H7)</f>
        <v>8. tájékoztató tábla a … / 2022. ( … ) önkormányzati rendelethez</v>
      </c>
    </row>
    <row r="4" spans="1:6" ht="16.5" thickBot="1" x14ac:dyDescent="0.3">
      <c r="A4" s="617"/>
      <c r="B4" s="616"/>
      <c r="C4" s="616"/>
      <c r="D4" s="616"/>
      <c r="E4" s="616"/>
      <c r="F4" s="997"/>
    </row>
    <row r="5" spans="1:6" ht="79.5" thickBot="1" x14ac:dyDescent="0.25">
      <c r="A5" s="618" t="s">
        <v>606</v>
      </c>
      <c r="B5" s="619" t="s">
        <v>749</v>
      </c>
      <c r="C5" s="619" t="s">
        <v>750</v>
      </c>
      <c r="D5" s="619" t="s">
        <v>751</v>
      </c>
      <c r="E5" s="620" t="s">
        <v>752</v>
      </c>
      <c r="F5" s="997"/>
    </row>
    <row r="6" spans="1:6" ht="31.5" x14ac:dyDescent="0.2">
      <c r="A6" s="613" t="s">
        <v>6</v>
      </c>
      <c r="B6" s="566" t="s">
        <v>901</v>
      </c>
      <c r="C6" s="567">
        <v>1</v>
      </c>
      <c r="D6" s="777">
        <v>3700000</v>
      </c>
      <c r="E6" s="565"/>
      <c r="F6" s="997"/>
    </row>
    <row r="7" spans="1:6" ht="15.75" x14ac:dyDescent="0.2">
      <c r="A7" s="614" t="s">
        <v>7</v>
      </c>
      <c r="B7" s="566" t="s">
        <v>902</v>
      </c>
      <c r="C7" s="567"/>
      <c r="D7" s="777">
        <v>6875505</v>
      </c>
      <c r="E7" s="569"/>
      <c r="F7" s="997"/>
    </row>
    <row r="8" spans="1:6" ht="15.75" x14ac:dyDescent="0.2">
      <c r="A8" s="614" t="s">
        <v>8</v>
      </c>
      <c r="B8" s="566" t="s">
        <v>903</v>
      </c>
      <c r="C8" s="567"/>
      <c r="D8" s="777">
        <v>190000</v>
      </c>
      <c r="E8" s="569"/>
      <c r="F8" s="997"/>
    </row>
    <row r="9" spans="1:6" ht="15.75" x14ac:dyDescent="0.2">
      <c r="A9" s="614" t="s">
        <v>9</v>
      </c>
      <c r="B9" s="566" t="s">
        <v>911</v>
      </c>
      <c r="C9" s="567"/>
      <c r="D9" s="777">
        <v>9043750</v>
      </c>
      <c r="E9" s="569"/>
      <c r="F9" s="997"/>
    </row>
    <row r="10" spans="1:6" ht="15.75" x14ac:dyDescent="0.2">
      <c r="A10" s="614" t="s">
        <v>10</v>
      </c>
      <c r="B10" s="566" t="s">
        <v>904</v>
      </c>
      <c r="C10" s="567"/>
      <c r="D10" s="777">
        <v>11226600</v>
      </c>
      <c r="E10" s="569"/>
      <c r="F10" s="997"/>
    </row>
    <row r="11" spans="1:6" ht="15.75" x14ac:dyDescent="0.2">
      <c r="A11" s="614" t="s">
        <v>11</v>
      </c>
      <c r="B11" s="566" t="s">
        <v>905</v>
      </c>
      <c r="C11" s="567"/>
      <c r="D11" s="777">
        <v>39539761</v>
      </c>
      <c r="E11" s="569"/>
      <c r="F11" s="997"/>
    </row>
    <row r="12" spans="1:6" ht="15.75" x14ac:dyDescent="0.2">
      <c r="A12" s="614" t="s">
        <v>12</v>
      </c>
      <c r="B12" s="566"/>
      <c r="C12" s="567"/>
      <c r="D12" s="568"/>
      <c r="E12" s="569"/>
      <c r="F12" s="997"/>
    </row>
    <row r="13" spans="1:6" ht="15.75" x14ac:dyDescent="0.2">
      <c r="A13" s="614" t="s">
        <v>13</v>
      </c>
      <c r="B13" s="566"/>
      <c r="C13" s="567"/>
      <c r="D13" s="568"/>
      <c r="E13" s="569"/>
      <c r="F13" s="997"/>
    </row>
    <row r="14" spans="1:6" ht="15.75" x14ac:dyDescent="0.2">
      <c r="A14" s="614" t="s">
        <v>14</v>
      </c>
      <c r="B14" s="566"/>
      <c r="C14" s="567"/>
      <c r="D14" s="568"/>
      <c r="E14" s="569"/>
      <c r="F14" s="997"/>
    </row>
    <row r="15" spans="1:6" ht="15.75" x14ac:dyDescent="0.2">
      <c r="A15" s="614" t="s">
        <v>15</v>
      </c>
      <c r="B15" s="566"/>
      <c r="C15" s="567"/>
      <c r="D15" s="568"/>
      <c r="E15" s="569"/>
      <c r="F15" s="997"/>
    </row>
    <row r="16" spans="1:6" ht="15.75" x14ac:dyDescent="0.2">
      <c r="A16" s="614" t="s">
        <v>16</v>
      </c>
      <c r="B16" s="566"/>
      <c r="C16" s="567"/>
      <c r="D16" s="568"/>
      <c r="E16" s="569"/>
      <c r="F16" s="997"/>
    </row>
    <row r="17" spans="1:6" ht="15.75" x14ac:dyDescent="0.2">
      <c r="A17" s="614" t="s">
        <v>17</v>
      </c>
      <c r="B17" s="566"/>
      <c r="C17" s="567"/>
      <c r="D17" s="568"/>
      <c r="E17" s="569"/>
      <c r="F17" s="997"/>
    </row>
    <row r="18" spans="1:6" ht="15.75" x14ac:dyDescent="0.2">
      <c r="A18" s="614" t="s">
        <v>18</v>
      </c>
      <c r="B18" s="566"/>
      <c r="C18" s="567"/>
      <c r="D18" s="568"/>
      <c r="E18" s="569"/>
      <c r="F18" s="997"/>
    </row>
    <row r="19" spans="1:6" ht="15.75" x14ac:dyDescent="0.2">
      <c r="A19" s="614" t="s">
        <v>19</v>
      </c>
      <c r="B19" s="566"/>
      <c r="C19" s="567"/>
      <c r="D19" s="568"/>
      <c r="E19" s="569"/>
      <c r="F19" s="997"/>
    </row>
    <row r="20" spans="1:6" ht="15.75" x14ac:dyDescent="0.2">
      <c r="A20" s="614" t="s">
        <v>20</v>
      </c>
      <c r="B20" s="566"/>
      <c r="C20" s="567"/>
      <c r="D20" s="568"/>
      <c r="E20" s="569"/>
      <c r="F20" s="997"/>
    </row>
    <row r="21" spans="1:6" ht="15.75" x14ac:dyDescent="0.2">
      <c r="A21" s="614" t="s">
        <v>21</v>
      </c>
      <c r="B21" s="566"/>
      <c r="C21" s="567"/>
      <c r="D21" s="568"/>
      <c r="E21" s="569"/>
      <c r="F21" s="997"/>
    </row>
    <row r="22" spans="1:6" ht="16.5" thickBot="1" x14ac:dyDescent="0.25">
      <c r="A22" s="615" t="s">
        <v>22</v>
      </c>
      <c r="B22" s="570"/>
      <c r="C22" s="571"/>
      <c r="D22" s="572"/>
      <c r="E22" s="573"/>
      <c r="F22" s="997"/>
    </row>
    <row r="23" spans="1:6" ht="16.5" thickBot="1" x14ac:dyDescent="0.3">
      <c r="A23" s="998" t="s">
        <v>753</v>
      </c>
      <c r="B23" s="999"/>
      <c r="C23" s="574"/>
      <c r="D23" s="575">
        <f>IF(SUM(D6:D22)=0,"",SUM(D6:D22))</f>
        <v>70575616</v>
      </c>
      <c r="E23" s="576" t="str">
        <f>IF(SUM(E6:E22)=0,"",SUM(E6:E22))</f>
        <v/>
      </c>
      <c r="F23" s="997"/>
    </row>
    <row r="24" spans="1:6" ht="15.75" x14ac:dyDescent="0.25">
      <c r="A24" s="564"/>
    </row>
  </sheetData>
  <mergeCells count="4">
    <mergeCell ref="F3:F23"/>
    <mergeCell ref="A23:B23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CECC8-7992-4FEA-A447-CC52A46B77AA}">
  <sheetPr>
    <tabColor theme="5"/>
  </sheetPr>
  <dimension ref="A2:E15"/>
  <sheetViews>
    <sheetView zoomScale="120" zoomScaleNormal="120" workbookViewId="0">
      <selection activeCell="G15" sqref="G15"/>
    </sheetView>
  </sheetViews>
  <sheetFormatPr defaultRowHeight="12.75" x14ac:dyDescent="0.2"/>
  <cols>
    <col min="1" max="1" width="7.6640625" style="31" customWidth="1"/>
    <col min="2" max="2" width="60.83203125" style="31" customWidth="1"/>
    <col min="3" max="3" width="25.6640625" style="31" customWidth="1"/>
    <col min="4" max="4" width="9.33203125" style="31"/>
    <col min="5" max="5" width="13.1640625" style="31" bestFit="1" customWidth="1"/>
    <col min="6" max="16384" width="9.33203125" style="31"/>
  </cols>
  <sheetData>
    <row r="2" spans="1:5" ht="15" x14ac:dyDescent="0.25">
      <c r="A2" s="956" t="str">
        <f>CONCATENATE("9. tájékoztató tábla ",Z_ALAPADATOK!A7," ",Z_ALAPADATOK!B7," ",Z_ALAPADATOK!C7," ",Z_ALAPADATOK!D7," ",Z_ALAPADATOK!E7," ",Z_ALAPADATOK!F7," ",Z_ALAPADATOK!G7," ",Z_ALAPADATOK!H7)</f>
        <v>9. tájékoztató tábla a … / 2022. ( … ) önkormányzati rendelethez</v>
      </c>
      <c r="B2" s="1002"/>
      <c r="C2" s="1002"/>
    </row>
    <row r="3" spans="1:5" ht="14.25" x14ac:dyDescent="0.2">
      <c r="A3" s="577"/>
      <c r="B3" s="577"/>
      <c r="C3" s="577"/>
    </row>
    <row r="4" spans="1:5" ht="33.75" customHeight="1" x14ac:dyDescent="0.2">
      <c r="A4" s="1001" t="s">
        <v>754</v>
      </c>
      <c r="B4" s="1001"/>
      <c r="C4" s="1001"/>
    </row>
    <row r="5" spans="1:5" ht="13.5" thickBot="1" x14ac:dyDescent="0.25">
      <c r="C5" s="578"/>
    </row>
    <row r="6" spans="1:5" s="579" customFormat="1" ht="43.5" customHeight="1" thickBot="1" x14ac:dyDescent="0.25">
      <c r="A6" s="726" t="s">
        <v>4</v>
      </c>
      <c r="B6" s="727" t="s">
        <v>44</v>
      </c>
      <c r="C6" s="728" t="s">
        <v>755</v>
      </c>
    </row>
    <row r="7" spans="1:5" ht="28.5" customHeight="1" x14ac:dyDescent="0.2">
      <c r="A7" s="729" t="s">
        <v>6</v>
      </c>
      <c r="B7" s="730" t="str">
        <f>CONCATENATE("Pénzkészlet ",Z_ALAPADATOK!B1,". január 1-jén
Ebből:")</f>
        <v>Pénzkészlet 2021. január 1-jén
Ebből:</v>
      </c>
      <c r="C7" s="745">
        <f>SUM(C8:C9)</f>
        <v>166728985</v>
      </c>
    </row>
    <row r="8" spans="1:5" ht="18" customHeight="1" x14ac:dyDescent="0.2">
      <c r="A8" s="731" t="s">
        <v>7</v>
      </c>
      <c r="B8" s="732" t="s">
        <v>756</v>
      </c>
      <c r="C8" s="741">
        <v>165749080</v>
      </c>
    </row>
    <row r="9" spans="1:5" ht="18" customHeight="1" x14ac:dyDescent="0.2">
      <c r="A9" s="731" t="s">
        <v>8</v>
      </c>
      <c r="B9" s="732" t="s">
        <v>757</v>
      </c>
      <c r="C9" s="741">
        <v>979905</v>
      </c>
      <c r="E9" s="746"/>
    </row>
    <row r="10" spans="1:5" ht="18" customHeight="1" x14ac:dyDescent="0.2">
      <c r="A10" s="731" t="s">
        <v>9</v>
      </c>
      <c r="B10" s="733" t="s">
        <v>758</v>
      </c>
      <c r="C10" s="741">
        <f>'Z_1.1.sz.mell.'!E93</f>
        <v>789128890</v>
      </c>
    </row>
    <row r="11" spans="1:5" ht="18" customHeight="1" x14ac:dyDescent="0.2">
      <c r="A11" s="734" t="s">
        <v>10</v>
      </c>
      <c r="B11" s="735" t="s">
        <v>759</v>
      </c>
      <c r="C11" s="742">
        <f>'Z_1.1.sz.mell.'!E161</f>
        <v>677893313</v>
      </c>
    </row>
    <row r="12" spans="1:5" ht="18" customHeight="1" thickBot="1" x14ac:dyDescent="0.25">
      <c r="A12" s="736" t="s">
        <v>11</v>
      </c>
      <c r="B12" s="737" t="s">
        <v>760</v>
      </c>
      <c r="C12" s="743">
        <v>-205328790</v>
      </c>
    </row>
    <row r="13" spans="1:5" ht="25.5" customHeight="1" x14ac:dyDescent="0.2">
      <c r="A13" s="738" t="s">
        <v>12</v>
      </c>
      <c r="B13" s="739" t="str">
        <f>CONCATENATE("Pénzkészlet ",Z_ALAPADATOK!B1,". december 31-én
Ebből:")</f>
        <v>Pénzkészlet 2021. december 31-én
Ebből:</v>
      </c>
      <c r="C13" s="744">
        <f>C7+C10-C11+C12</f>
        <v>72635772</v>
      </c>
    </row>
    <row r="14" spans="1:5" ht="18" customHeight="1" x14ac:dyDescent="0.2">
      <c r="A14" s="731" t="s">
        <v>13</v>
      </c>
      <c r="B14" s="732" t="s">
        <v>756</v>
      </c>
      <c r="C14" s="741">
        <v>71977662</v>
      </c>
      <c r="E14" s="746"/>
    </row>
    <row r="15" spans="1:5" ht="18" customHeight="1" thickBot="1" x14ac:dyDescent="0.25">
      <c r="A15" s="736" t="s">
        <v>14</v>
      </c>
      <c r="B15" s="740" t="s">
        <v>757</v>
      </c>
      <c r="C15" s="743">
        <v>658110</v>
      </c>
    </row>
  </sheetData>
  <mergeCells count="2">
    <mergeCell ref="A4:C4"/>
    <mergeCell ref="A2:C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74</vt:i4>
      </vt:variant>
      <vt:variant>
        <vt:lpstr>Névvel ellátott tartományok</vt:lpstr>
      </vt:variant>
      <vt:variant>
        <vt:i4>57</vt:i4>
      </vt:variant>
    </vt:vector>
  </HeadingPairs>
  <TitlesOfParts>
    <vt:vector size="131" baseType="lpstr">
      <vt:lpstr>Z_TARTALOMJEGYZÉK</vt:lpstr>
      <vt:lpstr>Z_ALAPADATOK</vt:lpstr>
      <vt:lpstr>Z_ÖSSZEFÜGGÉSEK</vt:lpstr>
      <vt:lpstr>Z_1.1.sz.mell.</vt:lpstr>
      <vt:lpstr>Z_1.2.sz.mell.</vt:lpstr>
      <vt:lpstr>Z_1.3.sz.mell.</vt:lpstr>
      <vt:lpstr>Z_1.4.sz.mell.</vt:lpstr>
      <vt:lpstr>Z_2.1.sz.mell</vt:lpstr>
      <vt:lpstr>Z_2.2.sz.mell</vt:lpstr>
      <vt:lpstr>Z_ELLENŐRZÉS</vt:lpstr>
      <vt:lpstr>Z_3.sz.mell.</vt:lpstr>
      <vt:lpstr>Z_4.sz.mell.</vt:lpstr>
      <vt:lpstr>Z_5.sz.mell.</vt:lpstr>
      <vt:lpstr>Z_6.1.sz.mell</vt:lpstr>
      <vt:lpstr>Z_6.1.1.sz.mell</vt:lpstr>
      <vt:lpstr>Z_6.1.2.sz.mell</vt:lpstr>
      <vt:lpstr>Z_6.1.3.sz.mell</vt:lpstr>
      <vt:lpstr>Z_6.2.sz.mell</vt:lpstr>
      <vt:lpstr>Z_6.2.1.sz.mell</vt:lpstr>
      <vt:lpstr>Z_6.2.2.sz.mell</vt:lpstr>
      <vt:lpstr>Z_6.2.3.sz.mell</vt:lpstr>
      <vt:lpstr>Z_6.3.sz.mell</vt:lpstr>
      <vt:lpstr>Z_6.3.1.sz.mell</vt:lpstr>
      <vt:lpstr>Z_6.3.2.sz.mell</vt:lpstr>
      <vt:lpstr>Z_6.3.3.sz.mell</vt:lpstr>
      <vt:lpstr>Z_6.4.sz.mell</vt:lpstr>
      <vt:lpstr>Z_6.4.1.sz.mell</vt:lpstr>
      <vt:lpstr>Z_6.4.2.sz.mell</vt:lpstr>
      <vt:lpstr>Z_6.4.3.sz.mell</vt:lpstr>
      <vt:lpstr>Z_6.5.sz.mell</vt:lpstr>
      <vt:lpstr>Z_6.5.1.sz.mell</vt:lpstr>
      <vt:lpstr>Z_6.5.2.sz.mell</vt:lpstr>
      <vt:lpstr>Z_6.5.3.sz.mell</vt:lpstr>
      <vt:lpstr>Z_6.6.sz.mell</vt:lpstr>
      <vt:lpstr>Z_6.6.1.sz.mell</vt:lpstr>
      <vt:lpstr>Z_6.6.2.sz.mell</vt:lpstr>
      <vt:lpstr>Z_6.6.3.sz.mell</vt:lpstr>
      <vt:lpstr>Z_6.7.sz.mell</vt:lpstr>
      <vt:lpstr>Z_6.7.1.sz.mell</vt:lpstr>
      <vt:lpstr>Z_6.7.2.sz.mell</vt:lpstr>
      <vt:lpstr>Z_6.7.3.sz.mell</vt:lpstr>
      <vt:lpstr>Z_6.8.sz.mell</vt:lpstr>
      <vt:lpstr>Z_6.8.1.sz.mell</vt:lpstr>
      <vt:lpstr>Z_6.8.2.sz.mell</vt:lpstr>
      <vt:lpstr>Z_6.8.3.sz.mell</vt:lpstr>
      <vt:lpstr>Z_6.9.sz.mell</vt:lpstr>
      <vt:lpstr>Z_6.9.1.sz.mell</vt:lpstr>
      <vt:lpstr>Z_6.9.2.sz.mell</vt:lpstr>
      <vt:lpstr>Z_6.9.3.sz.mell</vt:lpstr>
      <vt:lpstr>Z_6.10.sz.mell</vt:lpstr>
      <vt:lpstr>Z_6.10.1.sz.mell</vt:lpstr>
      <vt:lpstr>Z_6.10.2.sz.mell</vt:lpstr>
      <vt:lpstr>Z_6.10.3.sz.mell</vt:lpstr>
      <vt:lpstr>Z_6.11.sz.mell</vt:lpstr>
      <vt:lpstr>Z_6.11.1.sz.mell</vt:lpstr>
      <vt:lpstr>Z_6.11.2.sz.mell</vt:lpstr>
      <vt:lpstr>Z_6.11.3.sz.mell</vt:lpstr>
      <vt:lpstr>Z_6.12.sz.mell</vt:lpstr>
      <vt:lpstr>Z_6.12.1.sz.mell</vt:lpstr>
      <vt:lpstr>Z_6.12.2.sz.mell</vt:lpstr>
      <vt:lpstr>Z_6.12.3.sz.mell</vt:lpstr>
      <vt:lpstr>Z_7.sz.mell</vt:lpstr>
      <vt:lpstr>Z_8.sz.mell</vt:lpstr>
      <vt:lpstr>Z_1.tájékoztató_t.</vt:lpstr>
      <vt:lpstr>Z_2.tájékoztató_t.</vt:lpstr>
      <vt:lpstr>Z_3.tájékoztató_t.</vt:lpstr>
      <vt:lpstr>Z_4.tájékoztató_t.</vt:lpstr>
      <vt:lpstr>Z_5.tájékoztató_t.</vt:lpstr>
      <vt:lpstr>Z_6.tájékoztató_t.</vt:lpstr>
      <vt:lpstr>Z_7.1.tájékoztató_t.</vt:lpstr>
      <vt:lpstr>Z_7.2.tájékoztató_t.</vt:lpstr>
      <vt:lpstr>Z_7.3.tájékoztató_t.</vt:lpstr>
      <vt:lpstr>Z_8.tájékoztató_t.</vt:lpstr>
      <vt:lpstr>Z_9.tájékoztató_t.</vt:lpstr>
      <vt:lpstr>Z_7.3.tájékoztató_t.!_ftn1</vt:lpstr>
      <vt:lpstr>Z_7.3.tájékoztató_t.!_ftnref1</vt:lpstr>
      <vt:lpstr>Z_6.1.1.sz.mell!Nyomtatási_cím</vt:lpstr>
      <vt:lpstr>Z_6.1.2.sz.mell!Nyomtatási_cím</vt:lpstr>
      <vt:lpstr>Z_6.1.3.sz.mell!Nyomtatási_cím</vt:lpstr>
      <vt:lpstr>Z_6.1.sz.mell!Nyomtatási_cím</vt:lpstr>
      <vt:lpstr>Z_6.10.1.sz.mell!Nyomtatási_cím</vt:lpstr>
      <vt:lpstr>Z_6.10.2.sz.mell!Nyomtatási_cím</vt:lpstr>
      <vt:lpstr>Z_6.10.3.sz.mell!Nyomtatási_cím</vt:lpstr>
      <vt:lpstr>Z_6.10.sz.mell!Nyomtatási_cím</vt:lpstr>
      <vt:lpstr>Z_6.11.1.sz.mell!Nyomtatási_cím</vt:lpstr>
      <vt:lpstr>Z_6.11.2.sz.mell!Nyomtatási_cím</vt:lpstr>
      <vt:lpstr>Z_6.11.3.sz.mell!Nyomtatási_cím</vt:lpstr>
      <vt:lpstr>Z_6.11.sz.mell!Nyomtatási_cím</vt:lpstr>
      <vt:lpstr>Z_6.12.1.sz.mell!Nyomtatási_cím</vt:lpstr>
      <vt:lpstr>Z_6.12.2.sz.mell!Nyomtatási_cím</vt:lpstr>
      <vt:lpstr>Z_6.12.3.sz.mell!Nyomtatási_cím</vt:lpstr>
      <vt:lpstr>Z_6.12.sz.mell!Nyomtatási_cím</vt:lpstr>
      <vt:lpstr>Z_6.2.1.sz.mell!Nyomtatási_cím</vt:lpstr>
      <vt:lpstr>Z_6.2.2.sz.mell!Nyomtatási_cím</vt:lpstr>
      <vt:lpstr>Z_6.2.3.sz.mell!Nyomtatási_cím</vt:lpstr>
      <vt:lpstr>Z_6.2.sz.mell!Nyomtatási_cím</vt:lpstr>
      <vt:lpstr>Z_6.3.1.sz.mell!Nyomtatási_cím</vt:lpstr>
      <vt:lpstr>Z_6.3.2.sz.mell!Nyomtatási_cím</vt:lpstr>
      <vt:lpstr>Z_6.3.3.sz.mell!Nyomtatási_cím</vt:lpstr>
      <vt:lpstr>Z_6.3.sz.mell!Nyomtatási_cím</vt:lpstr>
      <vt:lpstr>Z_6.4.1.sz.mell!Nyomtatási_cím</vt:lpstr>
      <vt:lpstr>Z_6.4.2.sz.mell!Nyomtatási_cím</vt:lpstr>
      <vt:lpstr>Z_6.4.3.sz.mell!Nyomtatási_cím</vt:lpstr>
      <vt:lpstr>Z_6.4.sz.mell!Nyomtatási_cím</vt:lpstr>
      <vt:lpstr>Z_6.5.1.sz.mell!Nyomtatási_cím</vt:lpstr>
      <vt:lpstr>Z_6.5.2.sz.mell!Nyomtatási_cím</vt:lpstr>
      <vt:lpstr>Z_6.5.3.sz.mell!Nyomtatási_cím</vt:lpstr>
      <vt:lpstr>Z_6.5.sz.mell!Nyomtatási_cím</vt:lpstr>
      <vt:lpstr>Z_6.6.1.sz.mell!Nyomtatási_cím</vt:lpstr>
      <vt:lpstr>Z_6.6.2.sz.mell!Nyomtatási_cím</vt:lpstr>
      <vt:lpstr>Z_6.6.3.sz.mell!Nyomtatási_cím</vt:lpstr>
      <vt:lpstr>Z_6.6.sz.mell!Nyomtatási_cím</vt:lpstr>
      <vt:lpstr>Z_6.7.1.sz.mell!Nyomtatási_cím</vt:lpstr>
      <vt:lpstr>Z_6.7.2.sz.mell!Nyomtatási_cím</vt:lpstr>
      <vt:lpstr>Z_6.7.3.sz.mell!Nyomtatási_cím</vt:lpstr>
      <vt:lpstr>Z_6.7.sz.mell!Nyomtatási_cím</vt:lpstr>
      <vt:lpstr>Z_6.8.1.sz.mell!Nyomtatási_cím</vt:lpstr>
      <vt:lpstr>Z_6.8.2.sz.mell!Nyomtatási_cím</vt:lpstr>
      <vt:lpstr>Z_6.8.3.sz.mell!Nyomtatási_cím</vt:lpstr>
      <vt:lpstr>Z_6.8.sz.mell!Nyomtatási_cím</vt:lpstr>
      <vt:lpstr>Z_6.9.1.sz.mell!Nyomtatási_cím</vt:lpstr>
      <vt:lpstr>Z_6.9.2.sz.mell!Nyomtatási_cím</vt:lpstr>
      <vt:lpstr>Z_6.9.3.sz.mell!Nyomtatási_cím</vt:lpstr>
      <vt:lpstr>Z_6.9.sz.mell!Nyomtatási_cím</vt:lpstr>
      <vt:lpstr>Z_7.1.tájékoztató_t.!Nyomtatási_cím</vt:lpstr>
      <vt:lpstr>Z_1.1.sz.mell.!Nyomtatási_terület</vt:lpstr>
      <vt:lpstr>Z_1.2.sz.mell.!Nyomtatási_terület</vt:lpstr>
      <vt:lpstr>Z_1.3.sz.mell.!Nyomtatási_terület</vt:lpstr>
      <vt:lpstr>Z_1.4.sz.mell.!Nyomtatási_terület</vt:lpstr>
      <vt:lpstr>Z_1.tájékoztató_t.!Nyomtatási_terület</vt:lpstr>
      <vt:lpstr>Z_4.sz.mell.!Nyomtatási_terület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2022-05-19T09:36:03Z</cp:lastPrinted>
  <dcterms:created xsi:type="dcterms:W3CDTF">1999-10-30T10:30:45Z</dcterms:created>
  <dcterms:modified xsi:type="dcterms:W3CDTF">2026-09-19T11:24:37Z</dcterms:modified>
</cp:coreProperties>
</file>